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01.abv.local\hersteller\TOM DIXON\PREISLISTEN\"/>
    </mc:Choice>
  </mc:AlternateContent>
  <xr:revisionPtr revIDLastSave="0" documentId="8_{66AD96E6-8C0E-4FE4-A9D5-F293BEAC620E}" xr6:coauthVersionLast="40" xr6:coauthVersionMax="40" xr10:uidLastSave="{00000000-0000-0000-0000-000000000000}"/>
  <bookViews>
    <workbookView xWindow="0" yWindow="0" windowWidth="19200" windowHeight="6510" xr2:uid="{57E64659-4602-4B15-8F93-7E9ED2AAA963}"/>
  </bookViews>
  <sheets>
    <sheet name="Lighting" sheetId="1" r:id="rId1"/>
    <sheet name="Furniture" sheetId="2" r:id="rId2"/>
    <sheet name="Accessories" sheetId="3" r:id="rId3"/>
    <sheet name="Upholstery" sheetId="4" r:id="rId4"/>
    <sheet name="Sheet1" sheetId="5" state="veryHidden" r:id="rId5"/>
    <sheet name="Sheet2" sheetId="6" state="veryHidden" r:id="rId6"/>
    <sheet name="Sheet3" sheetId="7" state="veryHidden" r:id="rId7"/>
    <sheet name="Sheet4" sheetId="8" state="veryHidden" r:id="rId8"/>
    <sheet name="Sheet5" sheetId="9" state="veryHidden" r:id="rId9"/>
    <sheet name="Sheet6" sheetId="10" state="veryHidden" r:id="rId10"/>
    <sheet name="Sheet7" sheetId="11" state="veryHidden" r:id="rId11"/>
    <sheet name="Sheet8" sheetId="12" state="veryHidden" r:id="rId12"/>
    <sheet name="Sheet9" sheetId="13" state="veryHidden" r:id="rId13"/>
  </sheets>
  <definedNames>
    <definedName name="_xlnm._FilterDatabase" localSheetId="2" hidden="1">Accessories!$B$5:$L$220</definedName>
    <definedName name="_xlnm._FilterDatabase" localSheetId="0" hidden="1">Lighting!$B$5:$N$195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2" l="1"/>
  <c r="D6" i="2"/>
  <c r="F6" i="2"/>
  <c r="G6" i="2"/>
  <c r="C7" i="2"/>
  <c r="D7" i="2"/>
  <c r="F7" i="2"/>
  <c r="G7" i="2"/>
  <c r="C8" i="2"/>
  <c r="D8" i="2"/>
  <c r="C9" i="2"/>
  <c r="D9" i="2"/>
  <c r="F9" i="2"/>
  <c r="G9" i="2"/>
  <c r="C10" i="2"/>
  <c r="D10" i="2"/>
  <c r="F10" i="2"/>
  <c r="G10" i="2"/>
  <c r="C11" i="2"/>
  <c r="D11" i="2"/>
  <c r="C12" i="2"/>
  <c r="D12" i="2"/>
  <c r="F12" i="2"/>
  <c r="G12" i="2"/>
  <c r="C13" i="2"/>
  <c r="D13" i="2"/>
  <c r="F13" i="2"/>
  <c r="G13" i="2"/>
  <c r="C14" i="2"/>
  <c r="D14" i="2"/>
  <c r="C15" i="2"/>
  <c r="D15" i="2"/>
  <c r="F15" i="2"/>
  <c r="G15" i="2"/>
  <c r="C16" i="2"/>
  <c r="D16" i="2"/>
  <c r="F16" i="2"/>
  <c r="G16" i="2"/>
  <c r="C17" i="2"/>
  <c r="D17" i="2"/>
  <c r="C18" i="2"/>
  <c r="D18" i="2"/>
  <c r="F18" i="2"/>
  <c r="G18" i="2"/>
  <c r="C19" i="2"/>
  <c r="D19" i="2"/>
  <c r="F19" i="2"/>
  <c r="G19" i="2"/>
  <c r="C20" i="2"/>
  <c r="D20" i="2"/>
  <c r="C21" i="2"/>
  <c r="D21" i="2"/>
  <c r="C22" i="2"/>
  <c r="D22" i="2"/>
  <c r="F22" i="2"/>
  <c r="G22" i="2"/>
  <c r="C23" i="2"/>
  <c r="D23" i="2"/>
  <c r="F23" i="2"/>
  <c r="G23" i="2"/>
  <c r="C24" i="2"/>
  <c r="D24" i="2"/>
  <c r="C25" i="2"/>
  <c r="D25" i="2"/>
  <c r="C26" i="2"/>
  <c r="D26" i="2"/>
  <c r="C27" i="2"/>
  <c r="D27" i="2"/>
  <c r="F27" i="2"/>
  <c r="G27" i="2"/>
  <c r="C28" i="2"/>
  <c r="D28" i="2"/>
  <c r="F28" i="2"/>
  <c r="G28" i="2"/>
  <c r="C29" i="2"/>
  <c r="D29" i="2"/>
  <c r="F29" i="2"/>
  <c r="G29" i="2"/>
  <c r="C30" i="2"/>
  <c r="D30" i="2"/>
  <c r="C31" i="2"/>
  <c r="D31" i="2"/>
  <c r="F31" i="2"/>
  <c r="G31" i="2"/>
  <c r="C32" i="2"/>
  <c r="D32" i="2"/>
  <c r="F32" i="2"/>
  <c r="G32" i="2"/>
  <c r="C33" i="2"/>
  <c r="D33" i="2"/>
  <c r="F33" i="2"/>
  <c r="G33" i="2"/>
  <c r="C34" i="2"/>
  <c r="D34" i="2"/>
  <c r="C35" i="2"/>
  <c r="D35" i="2"/>
  <c r="F35" i="2"/>
  <c r="G35" i="2"/>
  <c r="C36" i="2"/>
  <c r="D36" i="2"/>
  <c r="F36" i="2"/>
  <c r="G36" i="2"/>
  <c r="C37" i="2"/>
  <c r="D37" i="2"/>
  <c r="F37" i="2"/>
  <c r="G37" i="2"/>
  <c r="C38" i="2"/>
  <c r="D38" i="2"/>
  <c r="C39" i="2"/>
  <c r="D39" i="2"/>
  <c r="F39" i="2"/>
  <c r="G39" i="2"/>
  <c r="C40" i="2"/>
  <c r="D40" i="2"/>
  <c r="F40" i="2"/>
  <c r="G40" i="2"/>
  <c r="C41" i="2"/>
  <c r="D41" i="2"/>
  <c r="F41" i="2"/>
  <c r="G41" i="2"/>
  <c r="C42" i="2"/>
  <c r="D42" i="2"/>
  <c r="F42" i="2"/>
  <c r="G42" i="2"/>
  <c r="C43" i="2"/>
  <c r="D43" i="2"/>
  <c r="C44" i="2"/>
  <c r="D44" i="2"/>
  <c r="F44" i="2"/>
  <c r="G44" i="2"/>
  <c r="C45" i="2"/>
  <c r="D45" i="2"/>
  <c r="F45" i="2"/>
  <c r="G45" i="2"/>
  <c r="C46" i="2"/>
  <c r="D46" i="2"/>
  <c r="F46" i="2"/>
  <c r="G46" i="2"/>
  <c r="C47" i="2"/>
  <c r="D47" i="2"/>
  <c r="F47" i="2"/>
  <c r="G47" i="2"/>
  <c r="C48" i="2"/>
  <c r="D48" i="2"/>
  <c r="F48" i="2"/>
  <c r="G48" i="2"/>
  <c r="C49" i="2"/>
  <c r="D49" i="2"/>
  <c r="C50" i="2"/>
  <c r="D50" i="2"/>
  <c r="F50" i="2"/>
  <c r="G50" i="2"/>
  <c r="C51" i="2"/>
  <c r="D51" i="2"/>
  <c r="F51" i="2"/>
  <c r="G51" i="2"/>
  <c r="C52" i="2"/>
  <c r="D52" i="2"/>
  <c r="F52" i="2"/>
  <c r="G52" i="2"/>
  <c r="C53" i="2"/>
  <c r="D53" i="2"/>
  <c r="F53" i="2"/>
  <c r="G53" i="2"/>
  <c r="C54" i="2"/>
  <c r="D54" i="2"/>
  <c r="F54" i="2"/>
  <c r="G54" i="2"/>
  <c r="C55" i="2"/>
  <c r="D55" i="2"/>
  <c r="C56" i="2"/>
  <c r="D56" i="2"/>
  <c r="F56" i="2"/>
  <c r="G56" i="2"/>
  <c r="C57" i="2"/>
  <c r="D57" i="2"/>
  <c r="F57" i="2"/>
  <c r="G57" i="2"/>
  <c r="C58" i="2"/>
  <c r="D58" i="2"/>
  <c r="F58" i="2"/>
  <c r="G58" i="2"/>
  <c r="C59" i="2"/>
  <c r="D59" i="2"/>
  <c r="F59" i="2"/>
  <c r="G59" i="2"/>
  <c r="C60" i="2"/>
  <c r="D60" i="2"/>
  <c r="F60" i="2"/>
  <c r="G60" i="2"/>
  <c r="C61" i="2"/>
  <c r="D61" i="2"/>
  <c r="C62" i="2"/>
  <c r="D62" i="2"/>
  <c r="F62" i="2"/>
  <c r="G62" i="2"/>
  <c r="C63" i="2"/>
  <c r="D63" i="2"/>
  <c r="F63" i="2"/>
  <c r="G63" i="2"/>
  <c r="C64" i="2"/>
  <c r="D64" i="2"/>
  <c r="F64" i="2"/>
  <c r="G64" i="2"/>
  <c r="C65" i="2"/>
  <c r="D65" i="2"/>
  <c r="F65" i="2"/>
  <c r="G65" i="2"/>
  <c r="C66" i="2"/>
  <c r="D66" i="2"/>
  <c r="F66" i="2"/>
  <c r="G66" i="2"/>
  <c r="C67" i="2"/>
  <c r="D67" i="2"/>
  <c r="C68" i="2"/>
  <c r="D68" i="2"/>
  <c r="F68" i="2"/>
  <c r="G68" i="2"/>
  <c r="C69" i="2"/>
  <c r="D69" i="2"/>
  <c r="F69" i="2"/>
  <c r="G69" i="2"/>
  <c r="C70" i="2"/>
  <c r="D70" i="2"/>
  <c r="F70" i="2"/>
  <c r="G70" i="2"/>
  <c r="C71" i="2"/>
  <c r="D71" i="2"/>
  <c r="F71" i="2"/>
  <c r="G71" i="2"/>
  <c r="C72" i="2"/>
  <c r="D72" i="2"/>
  <c r="F72" i="2"/>
  <c r="G72" i="2"/>
  <c r="C73" i="2"/>
  <c r="D73" i="2"/>
  <c r="C74" i="2"/>
  <c r="D74" i="2"/>
  <c r="F74" i="2"/>
  <c r="G74" i="2"/>
  <c r="C75" i="2"/>
  <c r="D75" i="2"/>
  <c r="F75" i="2"/>
  <c r="G75" i="2"/>
  <c r="C76" i="2"/>
  <c r="D76" i="2"/>
  <c r="F76" i="2"/>
  <c r="G76" i="2"/>
  <c r="C77" i="2"/>
  <c r="D77" i="2"/>
  <c r="F77" i="2"/>
  <c r="G77" i="2"/>
  <c r="C78" i="2"/>
  <c r="D78" i="2"/>
  <c r="C79" i="2"/>
  <c r="D79" i="2"/>
  <c r="F79" i="2"/>
  <c r="G79" i="2"/>
  <c r="C80" i="2"/>
  <c r="D80" i="2"/>
  <c r="F80" i="2"/>
  <c r="G80" i="2"/>
  <c r="C81" i="2"/>
  <c r="D81" i="2"/>
  <c r="F81" i="2"/>
  <c r="G81" i="2"/>
  <c r="C82" i="2"/>
  <c r="D82" i="2"/>
  <c r="F82" i="2"/>
  <c r="G82" i="2"/>
  <c r="C83" i="2"/>
  <c r="D83" i="2"/>
  <c r="C84" i="2"/>
  <c r="D84" i="2"/>
  <c r="C85" i="2"/>
  <c r="D85" i="2"/>
  <c r="C86" i="2"/>
  <c r="D86" i="2"/>
  <c r="C87" i="2"/>
  <c r="D87" i="2"/>
  <c r="F87" i="2"/>
  <c r="G87" i="2"/>
  <c r="C88" i="2"/>
  <c r="D88" i="2"/>
  <c r="F88" i="2"/>
  <c r="G88" i="2"/>
  <c r="C89" i="2"/>
  <c r="D89" i="2"/>
  <c r="F89" i="2"/>
  <c r="G89" i="2"/>
  <c r="C90" i="2"/>
  <c r="D90" i="2"/>
  <c r="C91" i="2"/>
  <c r="D91" i="2"/>
  <c r="F91" i="2"/>
  <c r="G91" i="2"/>
  <c r="C92" i="2"/>
  <c r="D92" i="2"/>
  <c r="F92" i="2"/>
  <c r="G92" i="2"/>
  <c r="C93" i="2"/>
  <c r="D93" i="2"/>
  <c r="F93" i="2"/>
  <c r="G93" i="2"/>
  <c r="C94" i="2"/>
  <c r="D94" i="2"/>
  <c r="C95" i="2"/>
  <c r="D95" i="2"/>
  <c r="F95" i="2"/>
  <c r="G95" i="2"/>
  <c r="C96" i="2"/>
  <c r="D96" i="2"/>
  <c r="F96" i="2"/>
  <c r="G96" i="2"/>
  <c r="C97" i="2"/>
  <c r="D97" i="2"/>
  <c r="F97" i="2"/>
  <c r="G97" i="2"/>
  <c r="C98" i="2"/>
  <c r="D98" i="2"/>
  <c r="C99" i="2"/>
  <c r="D99" i="2"/>
  <c r="F99" i="2"/>
  <c r="G99" i="2"/>
  <c r="C100" i="2"/>
  <c r="D100" i="2"/>
  <c r="F100" i="2"/>
  <c r="G100" i="2"/>
  <c r="C101" i="2"/>
  <c r="D101" i="2"/>
  <c r="F101" i="2"/>
  <c r="G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F129" i="2"/>
  <c r="G129" i="2"/>
  <c r="C130" i="2"/>
  <c r="D130" i="2"/>
  <c r="F130" i="2"/>
  <c r="G130" i="2"/>
  <c r="C131" i="2"/>
  <c r="D131" i="2"/>
  <c r="F131" i="2"/>
  <c r="G131" i="2"/>
  <c r="C132" i="2"/>
  <c r="D132" i="2"/>
  <c r="C133" i="2"/>
  <c r="D133" i="2"/>
  <c r="C134" i="2"/>
  <c r="D134" i="2"/>
  <c r="C135" i="2"/>
  <c r="D135" i="2"/>
  <c r="C6" i="1"/>
  <c r="D6" i="1"/>
  <c r="F6" i="1"/>
  <c r="G6" i="1"/>
  <c r="H6" i="1"/>
  <c r="C7" i="1"/>
  <c r="D7" i="1"/>
  <c r="F7" i="1"/>
  <c r="G7" i="1"/>
  <c r="H7" i="1"/>
  <c r="C8" i="1"/>
  <c r="D8" i="1"/>
  <c r="C9" i="1"/>
  <c r="D9" i="1"/>
  <c r="F9" i="1"/>
  <c r="G9" i="1"/>
  <c r="H9" i="1"/>
  <c r="C10" i="1"/>
  <c r="D10" i="1"/>
  <c r="F10" i="1"/>
  <c r="G10" i="1"/>
  <c r="H10" i="1"/>
  <c r="C11" i="1"/>
  <c r="D11" i="1"/>
  <c r="C12" i="1"/>
  <c r="D12" i="1"/>
  <c r="F12" i="1"/>
  <c r="G12" i="1"/>
  <c r="H12" i="1"/>
  <c r="C13" i="1"/>
  <c r="D13" i="1"/>
  <c r="F13" i="1"/>
  <c r="G13" i="1"/>
  <c r="H13" i="1"/>
  <c r="C14" i="1"/>
  <c r="D14" i="1"/>
  <c r="C15" i="1"/>
  <c r="D15" i="1"/>
  <c r="C16" i="1"/>
  <c r="D16" i="1"/>
  <c r="C17" i="1"/>
  <c r="D17" i="1"/>
  <c r="F17" i="1"/>
  <c r="G17" i="1"/>
  <c r="H17" i="1"/>
  <c r="C18" i="1"/>
  <c r="D18" i="1"/>
  <c r="F18" i="1"/>
  <c r="G18" i="1"/>
  <c r="H18" i="1"/>
  <c r="C19" i="1"/>
  <c r="D19" i="1"/>
  <c r="C20" i="1"/>
  <c r="D20" i="1"/>
  <c r="F20" i="1"/>
  <c r="G20" i="1"/>
  <c r="H20" i="1"/>
  <c r="C21" i="1"/>
  <c r="D21" i="1"/>
  <c r="F21" i="1"/>
  <c r="G21" i="1"/>
  <c r="H21" i="1"/>
  <c r="C22" i="1"/>
  <c r="D22" i="1"/>
  <c r="C23" i="1"/>
  <c r="D23" i="1"/>
  <c r="F23" i="1"/>
  <c r="G23" i="1"/>
  <c r="H23" i="1"/>
  <c r="C24" i="1"/>
  <c r="D24" i="1"/>
  <c r="F24" i="1"/>
  <c r="G24" i="1"/>
  <c r="H24" i="1"/>
  <c r="C25" i="1"/>
  <c r="D25" i="1"/>
  <c r="C26" i="1"/>
  <c r="D26" i="1"/>
  <c r="F26" i="1"/>
  <c r="G26" i="1"/>
  <c r="H26" i="1"/>
  <c r="C27" i="1"/>
  <c r="D27" i="1"/>
  <c r="F27" i="1"/>
  <c r="G27" i="1"/>
  <c r="H27" i="1"/>
  <c r="C28" i="1"/>
  <c r="D28" i="1"/>
  <c r="C29" i="1"/>
  <c r="D29" i="1"/>
  <c r="F29" i="1"/>
  <c r="G29" i="1"/>
  <c r="H29" i="1"/>
  <c r="C30" i="1"/>
  <c r="D30" i="1"/>
  <c r="F30" i="1"/>
  <c r="G30" i="1"/>
  <c r="H30" i="1"/>
  <c r="C31" i="1"/>
  <c r="D31" i="1"/>
  <c r="C32" i="1"/>
  <c r="D32" i="1"/>
  <c r="F32" i="1"/>
  <c r="G32" i="1"/>
  <c r="H32" i="1"/>
  <c r="C33" i="1"/>
  <c r="D33" i="1"/>
  <c r="F33" i="1"/>
  <c r="G33" i="1"/>
  <c r="H33" i="1"/>
  <c r="C34" i="1"/>
  <c r="D34" i="1"/>
  <c r="C35" i="1"/>
  <c r="D35" i="1"/>
  <c r="F35" i="1"/>
  <c r="G35" i="1"/>
  <c r="H35" i="1"/>
  <c r="C36" i="1"/>
  <c r="D36" i="1"/>
  <c r="F36" i="1"/>
  <c r="G36" i="1"/>
  <c r="H36" i="1"/>
  <c r="C37" i="1"/>
  <c r="D37" i="1"/>
  <c r="C38" i="1"/>
  <c r="D38" i="1"/>
  <c r="F38" i="1"/>
  <c r="G38" i="1"/>
  <c r="H38" i="1"/>
  <c r="C39" i="1"/>
  <c r="D39" i="1"/>
  <c r="F39" i="1"/>
  <c r="G39" i="1"/>
  <c r="H39" i="1"/>
  <c r="C40" i="1"/>
  <c r="D40" i="1"/>
  <c r="C41" i="1"/>
  <c r="D41" i="1"/>
  <c r="F41" i="1"/>
  <c r="G41" i="1"/>
  <c r="H41" i="1"/>
  <c r="C42" i="1"/>
  <c r="D42" i="1"/>
  <c r="F42" i="1"/>
  <c r="G42" i="1"/>
  <c r="H42" i="1"/>
  <c r="C43" i="1"/>
  <c r="D43" i="1"/>
  <c r="C44" i="1"/>
  <c r="D44" i="1"/>
  <c r="F44" i="1"/>
  <c r="G44" i="1"/>
  <c r="H44" i="1"/>
  <c r="C45" i="1"/>
  <c r="D45" i="1"/>
  <c r="F45" i="1"/>
  <c r="G45" i="1"/>
  <c r="H45" i="1"/>
  <c r="C46" i="1"/>
  <c r="D46" i="1"/>
  <c r="C47" i="1"/>
  <c r="D47" i="1"/>
  <c r="F47" i="1"/>
  <c r="G47" i="1"/>
  <c r="H47" i="1"/>
  <c r="C48" i="1"/>
  <c r="D48" i="1"/>
  <c r="F48" i="1"/>
  <c r="G48" i="1"/>
  <c r="H48" i="1"/>
  <c r="C49" i="1"/>
  <c r="D49" i="1"/>
  <c r="C50" i="1"/>
  <c r="D50" i="1"/>
  <c r="F50" i="1"/>
  <c r="G50" i="1"/>
  <c r="H50" i="1"/>
  <c r="C51" i="1"/>
  <c r="D51" i="1"/>
  <c r="F51" i="1"/>
  <c r="G51" i="1"/>
  <c r="H51" i="1"/>
  <c r="C52" i="1"/>
  <c r="D52" i="1"/>
  <c r="C53" i="1"/>
  <c r="D53" i="1"/>
  <c r="F53" i="1"/>
  <c r="G53" i="1"/>
  <c r="H53" i="1"/>
  <c r="C54" i="1"/>
  <c r="D54" i="1"/>
  <c r="F54" i="1"/>
  <c r="G54" i="1"/>
  <c r="H54" i="1"/>
  <c r="C55" i="1"/>
  <c r="D55" i="1"/>
  <c r="C56" i="1"/>
  <c r="D56" i="1"/>
  <c r="F56" i="1"/>
  <c r="G56" i="1"/>
  <c r="H56" i="1"/>
  <c r="C57" i="1"/>
  <c r="D57" i="1"/>
  <c r="F57" i="1"/>
  <c r="G57" i="1"/>
  <c r="H57" i="1"/>
  <c r="C58" i="1"/>
  <c r="D58" i="1"/>
  <c r="C59" i="1"/>
  <c r="D59" i="1"/>
  <c r="F59" i="1"/>
  <c r="G59" i="1"/>
  <c r="H59" i="1"/>
  <c r="C60" i="1"/>
  <c r="D60" i="1"/>
  <c r="F60" i="1"/>
  <c r="G60" i="1"/>
  <c r="H60" i="1"/>
  <c r="C61" i="1"/>
  <c r="D61" i="1"/>
  <c r="C62" i="1"/>
  <c r="D62" i="1"/>
  <c r="F62" i="1"/>
  <c r="G62" i="1"/>
  <c r="H62" i="1"/>
  <c r="C63" i="1"/>
  <c r="D63" i="1"/>
  <c r="F63" i="1"/>
  <c r="G63" i="1"/>
  <c r="H63" i="1"/>
  <c r="C64" i="1"/>
  <c r="D64" i="1"/>
  <c r="C65" i="1"/>
  <c r="D65" i="1"/>
  <c r="F65" i="1"/>
  <c r="G65" i="1"/>
  <c r="H65" i="1"/>
  <c r="C66" i="1"/>
  <c r="D66" i="1"/>
  <c r="F66" i="1"/>
  <c r="G66" i="1"/>
  <c r="H66" i="1"/>
  <c r="C67" i="1"/>
  <c r="D67" i="1"/>
  <c r="C68" i="1"/>
  <c r="D68" i="1"/>
  <c r="F68" i="1"/>
  <c r="G68" i="1"/>
  <c r="H68" i="1"/>
  <c r="C69" i="1"/>
  <c r="D69" i="1"/>
  <c r="F69" i="1"/>
  <c r="G69" i="1"/>
  <c r="H69" i="1"/>
  <c r="C70" i="1"/>
  <c r="D70" i="1"/>
  <c r="C71" i="1"/>
  <c r="D71" i="1"/>
  <c r="C72" i="1"/>
  <c r="D72" i="1"/>
  <c r="C73" i="1"/>
  <c r="D73" i="1"/>
  <c r="C74" i="1"/>
  <c r="D74" i="1"/>
  <c r="C75" i="1"/>
  <c r="D75" i="1"/>
  <c r="C76" i="1"/>
  <c r="D76" i="1"/>
  <c r="C77" i="1"/>
  <c r="D77" i="1"/>
  <c r="C78" i="1"/>
  <c r="D78" i="1"/>
  <c r="C79" i="1"/>
  <c r="D79" i="1"/>
  <c r="C80" i="1"/>
  <c r="D80" i="1"/>
  <c r="C81" i="1"/>
  <c r="D81" i="1"/>
  <c r="C82" i="1"/>
  <c r="D82" i="1"/>
  <c r="C83" i="1"/>
  <c r="D83" i="1"/>
  <c r="C84" i="1"/>
  <c r="D84" i="1"/>
  <c r="C85" i="1"/>
  <c r="D85" i="1"/>
  <c r="C86" i="1"/>
  <c r="D86" i="1"/>
  <c r="C87" i="1"/>
  <c r="D87" i="1"/>
  <c r="C88" i="1"/>
  <c r="D88" i="1"/>
  <c r="C89" i="1"/>
  <c r="D89" i="1"/>
  <c r="C90" i="1"/>
  <c r="D90" i="1"/>
  <c r="C91" i="1"/>
  <c r="D91" i="1"/>
  <c r="C92" i="1"/>
  <c r="D92" i="1"/>
  <c r="C93" i="1"/>
  <c r="D93" i="1"/>
  <c r="C94" i="1"/>
  <c r="D94" i="1"/>
  <c r="C95" i="1"/>
  <c r="D95" i="1"/>
  <c r="C96" i="1"/>
  <c r="D96" i="1"/>
  <c r="C97" i="1"/>
  <c r="D97" i="1"/>
  <c r="C98" i="1"/>
  <c r="D98" i="1"/>
  <c r="C99" i="1"/>
  <c r="D99" i="1"/>
  <c r="C100" i="1"/>
  <c r="D100" i="1"/>
  <c r="C101" i="1"/>
  <c r="D101" i="1"/>
  <c r="C102" i="1"/>
  <c r="D102" i="1"/>
  <c r="C103" i="1"/>
  <c r="D103" i="1"/>
  <c r="C104" i="1"/>
  <c r="D104" i="1"/>
  <c r="C105" i="1"/>
  <c r="D105" i="1"/>
  <c r="C106" i="1"/>
  <c r="D106" i="1"/>
  <c r="C107" i="1"/>
  <c r="D107" i="1"/>
  <c r="C108" i="1"/>
  <c r="D108" i="1"/>
  <c r="C109" i="1"/>
  <c r="D109" i="1"/>
  <c r="C110" i="1"/>
  <c r="D110" i="1"/>
  <c r="C111" i="1"/>
  <c r="D111" i="1"/>
  <c r="C112" i="1"/>
  <c r="D112" i="1"/>
  <c r="C113" i="1"/>
  <c r="D113" i="1"/>
  <c r="C114" i="1"/>
  <c r="D114" i="1"/>
  <c r="F114" i="1"/>
  <c r="G114" i="1"/>
  <c r="H114" i="1"/>
  <c r="C115" i="1"/>
  <c r="D115" i="1"/>
  <c r="F115" i="1"/>
  <c r="G115" i="1"/>
  <c r="H115" i="1"/>
  <c r="C116" i="1"/>
  <c r="D116" i="1"/>
  <c r="C117" i="1"/>
  <c r="D117" i="1"/>
  <c r="C118" i="1"/>
  <c r="D118" i="1"/>
  <c r="C119" i="1"/>
  <c r="D119" i="1"/>
  <c r="C120" i="1"/>
  <c r="D120" i="1"/>
  <c r="C121" i="1"/>
  <c r="D121" i="1"/>
  <c r="C122" i="1"/>
  <c r="D122" i="1"/>
  <c r="C123" i="1"/>
  <c r="D123" i="1"/>
  <c r="C124" i="1"/>
  <c r="D124" i="1"/>
  <c r="C125" i="1"/>
  <c r="D125" i="1"/>
  <c r="C126" i="1"/>
  <c r="D126" i="1"/>
  <c r="C127" i="1"/>
  <c r="D127" i="1"/>
  <c r="C128" i="1"/>
  <c r="D128" i="1"/>
  <c r="C129" i="1"/>
  <c r="D129" i="1"/>
  <c r="C130" i="1"/>
  <c r="D130" i="1"/>
  <c r="C131" i="1"/>
  <c r="D131" i="1"/>
  <c r="C132" i="1"/>
  <c r="D132" i="1"/>
  <c r="C133" i="1"/>
  <c r="D133" i="1"/>
  <c r="C134" i="1"/>
  <c r="D134" i="1"/>
  <c r="C135" i="1"/>
  <c r="D135" i="1"/>
  <c r="C136" i="1"/>
  <c r="D136" i="1"/>
  <c r="C137" i="1"/>
  <c r="D137" i="1"/>
  <c r="C138" i="1"/>
  <c r="D138" i="1"/>
  <c r="C139" i="1"/>
  <c r="D139" i="1"/>
  <c r="C140" i="1"/>
  <c r="D140" i="1"/>
  <c r="C141" i="1"/>
  <c r="D141" i="1"/>
  <c r="C142" i="1"/>
  <c r="D142" i="1"/>
  <c r="C143" i="1"/>
  <c r="D143" i="1"/>
  <c r="C144" i="1"/>
  <c r="D144" i="1"/>
  <c r="C145" i="1"/>
  <c r="D145" i="1"/>
  <c r="C146" i="1"/>
  <c r="D146" i="1"/>
  <c r="C147" i="1"/>
  <c r="D147" i="1"/>
  <c r="C148" i="1"/>
  <c r="D148" i="1"/>
  <c r="C149" i="1"/>
  <c r="D149" i="1"/>
  <c r="C150" i="1"/>
  <c r="D150" i="1"/>
  <c r="C151" i="1"/>
  <c r="D151" i="1"/>
  <c r="C152" i="1"/>
  <c r="D152" i="1"/>
  <c r="C153" i="1"/>
  <c r="D153" i="1"/>
  <c r="C154" i="1"/>
  <c r="D154" i="1"/>
  <c r="C155" i="1"/>
  <c r="D155" i="1"/>
  <c r="F155" i="1"/>
  <c r="G155" i="1"/>
  <c r="H155" i="1"/>
  <c r="C156" i="1"/>
  <c r="D156" i="1"/>
  <c r="F156" i="1"/>
  <c r="G156" i="1"/>
  <c r="H156" i="1"/>
  <c r="C157" i="1"/>
  <c r="D157" i="1"/>
  <c r="C158" i="1"/>
  <c r="D158" i="1"/>
  <c r="F158" i="1"/>
  <c r="G158" i="1"/>
  <c r="H158" i="1"/>
  <c r="C159" i="1"/>
  <c r="D159" i="1"/>
  <c r="F159" i="1"/>
  <c r="G159" i="1"/>
  <c r="H159" i="1"/>
  <c r="C160" i="1"/>
  <c r="D160" i="1"/>
  <c r="C161" i="1"/>
  <c r="D161" i="1"/>
  <c r="F161" i="1"/>
  <c r="G161" i="1"/>
  <c r="H161" i="1"/>
  <c r="C162" i="1"/>
  <c r="D162" i="1"/>
  <c r="F162" i="1"/>
  <c r="G162" i="1"/>
  <c r="H162" i="1"/>
  <c r="C163" i="1"/>
  <c r="D163" i="1"/>
  <c r="C164" i="1"/>
  <c r="D164" i="1"/>
  <c r="F164" i="1"/>
  <c r="G164" i="1"/>
  <c r="H164" i="1"/>
  <c r="C165" i="1"/>
  <c r="D165" i="1"/>
  <c r="F165" i="1"/>
  <c r="G165" i="1"/>
  <c r="H165" i="1"/>
  <c r="C166" i="1"/>
  <c r="D166" i="1"/>
  <c r="C167" i="1"/>
  <c r="D167" i="1"/>
  <c r="F167" i="1"/>
  <c r="G167" i="1"/>
  <c r="H167" i="1"/>
  <c r="C168" i="1"/>
  <c r="D168" i="1"/>
  <c r="F168" i="1"/>
  <c r="G168" i="1"/>
  <c r="H168" i="1"/>
  <c r="C169" i="1"/>
  <c r="D169" i="1"/>
  <c r="C170" i="1"/>
  <c r="D170" i="1"/>
  <c r="F170" i="1"/>
  <c r="G170" i="1"/>
  <c r="H170" i="1"/>
  <c r="C171" i="1"/>
  <c r="D171" i="1"/>
  <c r="F171" i="1"/>
  <c r="G171" i="1"/>
  <c r="H171" i="1"/>
  <c r="C172" i="1"/>
  <c r="D172" i="1"/>
  <c r="C173" i="1"/>
  <c r="D173" i="1"/>
  <c r="F173" i="1"/>
  <c r="G173" i="1"/>
  <c r="H173" i="1"/>
  <c r="C174" i="1"/>
  <c r="D174" i="1"/>
  <c r="F174" i="1"/>
  <c r="G174" i="1"/>
  <c r="H174" i="1"/>
  <c r="C175" i="1"/>
  <c r="D175" i="1"/>
  <c r="C176" i="1"/>
  <c r="D176" i="1"/>
  <c r="F176" i="1"/>
  <c r="G176" i="1"/>
  <c r="H176" i="1"/>
  <c r="C177" i="1"/>
  <c r="D177" i="1"/>
  <c r="F177" i="1"/>
  <c r="G177" i="1"/>
  <c r="H177" i="1"/>
  <c r="C178" i="1"/>
  <c r="D178" i="1"/>
  <c r="C179" i="1"/>
  <c r="D179" i="1"/>
  <c r="F179" i="1"/>
  <c r="G179" i="1"/>
  <c r="H179" i="1"/>
  <c r="C180" i="1"/>
  <c r="D180" i="1"/>
  <c r="F180" i="1"/>
  <c r="G180" i="1"/>
  <c r="H180" i="1"/>
  <c r="C181" i="1"/>
  <c r="D181" i="1"/>
  <c r="C182" i="1"/>
  <c r="D182" i="1"/>
  <c r="F182" i="1"/>
  <c r="G182" i="1"/>
  <c r="H182" i="1"/>
  <c r="C183" i="1"/>
  <c r="D183" i="1"/>
  <c r="F183" i="1"/>
  <c r="G183" i="1"/>
  <c r="H183" i="1"/>
  <c r="C184" i="1"/>
  <c r="D184" i="1"/>
  <c r="C185" i="1"/>
  <c r="D185" i="1"/>
  <c r="F185" i="1"/>
  <c r="G185" i="1"/>
  <c r="C186" i="1"/>
  <c r="D186" i="1"/>
  <c r="F186" i="1"/>
  <c r="G186" i="1"/>
  <c r="C187" i="1"/>
  <c r="D187" i="1"/>
  <c r="F187" i="1"/>
  <c r="G187" i="1"/>
  <c r="C188" i="1"/>
  <c r="D188" i="1"/>
  <c r="C189" i="1"/>
  <c r="D189" i="1"/>
  <c r="F189" i="1"/>
  <c r="G189" i="1"/>
  <c r="C190" i="1"/>
  <c r="D190" i="1"/>
  <c r="F190" i="1"/>
  <c r="G190" i="1"/>
  <c r="C191" i="1"/>
  <c r="D191" i="1"/>
  <c r="F191" i="1"/>
  <c r="G191" i="1"/>
  <c r="C192" i="1"/>
  <c r="D192" i="1"/>
  <c r="F192" i="1"/>
  <c r="G192" i="1"/>
  <c r="H192" i="1"/>
  <c r="C193" i="1"/>
  <c r="D193" i="1"/>
  <c r="C194" i="1"/>
  <c r="D194" i="1"/>
  <c r="C195" i="1"/>
  <c r="D195" i="1"/>
  <c r="C198" i="1"/>
  <c r="D198" i="1"/>
  <c r="F198" i="1"/>
  <c r="G198" i="1"/>
  <c r="H198" i="1"/>
  <c r="C199" i="1"/>
  <c r="D199" i="1"/>
  <c r="F199" i="1"/>
  <c r="G199" i="1"/>
  <c r="H199" i="1"/>
  <c r="C200" i="1"/>
  <c r="D200" i="1"/>
  <c r="F200" i="1"/>
  <c r="G200" i="1"/>
  <c r="H200" i="1"/>
  <c r="C201" i="1"/>
  <c r="D201" i="1"/>
  <c r="F201" i="1"/>
  <c r="G201" i="1"/>
  <c r="H201" i="1"/>
  <c r="C202" i="1"/>
  <c r="D202" i="1"/>
  <c r="C203" i="1"/>
  <c r="D203" i="1"/>
  <c r="F203" i="1"/>
  <c r="G203" i="1"/>
  <c r="H203" i="1"/>
  <c r="C204" i="1"/>
  <c r="D204" i="1"/>
  <c r="F204" i="1"/>
  <c r="G204" i="1"/>
  <c r="H204" i="1"/>
  <c r="C205" i="1"/>
  <c r="D205" i="1"/>
  <c r="F205" i="1"/>
  <c r="G205" i="1"/>
  <c r="H205" i="1"/>
  <c r="C206" i="1"/>
  <c r="D206" i="1"/>
  <c r="F206" i="1"/>
  <c r="G206" i="1"/>
  <c r="H206" i="1"/>
  <c r="C207" i="1"/>
  <c r="D207" i="1"/>
  <c r="F207" i="1"/>
  <c r="G207" i="1"/>
  <c r="H207" i="1"/>
  <c r="C208" i="1"/>
  <c r="D208" i="1"/>
  <c r="C209" i="1"/>
  <c r="D209" i="1"/>
  <c r="F209" i="1"/>
  <c r="G209" i="1"/>
  <c r="H209" i="1"/>
  <c r="C210" i="1"/>
  <c r="D210" i="1"/>
  <c r="F210" i="1"/>
  <c r="G210" i="1"/>
  <c r="H210" i="1"/>
  <c r="C211" i="1"/>
  <c r="D211" i="1"/>
  <c r="F211" i="1"/>
  <c r="G211" i="1"/>
  <c r="H211" i="1"/>
  <c r="C212" i="1"/>
  <c r="D212" i="1"/>
  <c r="F212" i="1"/>
  <c r="G212" i="1"/>
  <c r="H212" i="1"/>
  <c r="C213" i="1"/>
  <c r="D213" i="1"/>
  <c r="C214" i="1"/>
  <c r="D214" i="1"/>
  <c r="F214" i="1"/>
  <c r="G214" i="1"/>
  <c r="H214" i="1"/>
  <c r="C215" i="1"/>
  <c r="D215" i="1"/>
  <c r="F215" i="1"/>
  <c r="G215" i="1"/>
  <c r="H215" i="1"/>
  <c r="C216" i="1"/>
  <c r="D216" i="1"/>
  <c r="F216" i="1"/>
  <c r="G216" i="1"/>
  <c r="H216" i="1"/>
  <c r="C217" i="1"/>
  <c r="D217" i="1"/>
  <c r="F217" i="1"/>
  <c r="G217" i="1"/>
  <c r="H217" i="1"/>
  <c r="C218" i="1"/>
  <c r="D218" i="1"/>
  <c r="C219" i="1"/>
  <c r="D219" i="1"/>
  <c r="F219" i="1"/>
  <c r="G219" i="1"/>
  <c r="H219" i="1"/>
  <c r="C220" i="1"/>
  <c r="D220" i="1"/>
  <c r="F220" i="1"/>
  <c r="G220" i="1"/>
  <c r="H220" i="1"/>
  <c r="C221" i="1"/>
  <c r="D221" i="1"/>
  <c r="F221" i="1"/>
  <c r="G221" i="1"/>
  <c r="H221" i="1"/>
  <c r="C222" i="1"/>
  <c r="D222" i="1"/>
  <c r="F222" i="1"/>
  <c r="G222" i="1"/>
  <c r="H222" i="1"/>
  <c r="C223" i="1"/>
  <c r="D223" i="1"/>
  <c r="C224" i="1"/>
  <c r="D224" i="1"/>
  <c r="F224" i="1"/>
  <c r="G224" i="1"/>
  <c r="H224" i="1"/>
  <c r="C225" i="1"/>
  <c r="D225" i="1"/>
  <c r="F225" i="1"/>
  <c r="G225" i="1"/>
  <c r="H225" i="1"/>
  <c r="C226" i="1"/>
  <c r="D226" i="1"/>
  <c r="F226" i="1"/>
  <c r="G226" i="1"/>
  <c r="H226" i="1"/>
  <c r="C227" i="1"/>
  <c r="D227" i="1"/>
  <c r="F227" i="1"/>
  <c r="G227" i="1"/>
  <c r="H227" i="1"/>
  <c r="C228" i="1"/>
  <c r="D228" i="1"/>
  <c r="F228" i="1"/>
  <c r="G228" i="1"/>
  <c r="H228" i="1"/>
  <c r="C229" i="1"/>
  <c r="D229" i="1"/>
  <c r="C230" i="1"/>
  <c r="D230" i="1"/>
  <c r="F230" i="1"/>
  <c r="G230" i="1"/>
  <c r="H230" i="1"/>
  <c r="C231" i="1"/>
  <c r="D231" i="1"/>
  <c r="F231" i="1"/>
  <c r="G231" i="1"/>
  <c r="H231" i="1"/>
  <c r="C232" i="1"/>
  <c r="D232" i="1"/>
  <c r="F232" i="1"/>
  <c r="G232" i="1"/>
  <c r="H232" i="1"/>
  <c r="C233" i="1"/>
  <c r="D233" i="1"/>
  <c r="F233" i="1"/>
  <c r="G233" i="1"/>
  <c r="H233" i="1"/>
  <c r="C234" i="1"/>
  <c r="D234" i="1"/>
  <c r="C235" i="1"/>
  <c r="D235" i="1"/>
  <c r="F235" i="1"/>
  <c r="G235" i="1"/>
  <c r="H235" i="1"/>
  <c r="C236" i="1"/>
  <c r="D236" i="1"/>
  <c r="F236" i="1"/>
  <c r="G236" i="1"/>
  <c r="H236" i="1"/>
  <c r="C237" i="1"/>
  <c r="D237" i="1"/>
  <c r="F237" i="1"/>
  <c r="G237" i="1"/>
  <c r="H237" i="1"/>
  <c r="C238" i="1"/>
  <c r="D238" i="1"/>
  <c r="F238" i="1"/>
  <c r="G238" i="1"/>
  <c r="H238" i="1"/>
  <c r="C239" i="1"/>
  <c r="D239" i="1"/>
  <c r="C240" i="1"/>
  <c r="D240" i="1"/>
  <c r="F240" i="1"/>
  <c r="G240" i="1"/>
  <c r="H240" i="1"/>
  <c r="C241" i="1"/>
  <c r="D241" i="1"/>
  <c r="F241" i="1"/>
  <c r="G241" i="1"/>
  <c r="H241" i="1"/>
  <c r="C242" i="1"/>
  <c r="D242" i="1"/>
  <c r="F242" i="1"/>
  <c r="G242" i="1"/>
  <c r="H242" i="1"/>
  <c r="C243" i="1"/>
  <c r="D243" i="1"/>
  <c r="F243" i="1"/>
  <c r="G243" i="1"/>
  <c r="H243" i="1"/>
  <c r="C244" i="1"/>
  <c r="D244" i="1"/>
  <c r="F244" i="1"/>
  <c r="G244" i="1"/>
  <c r="H244" i="1"/>
  <c r="C245" i="1"/>
  <c r="D245" i="1"/>
  <c r="C246" i="1"/>
  <c r="D246" i="1"/>
  <c r="F246" i="1"/>
  <c r="G246" i="1"/>
  <c r="H246" i="1"/>
  <c r="C247" i="1"/>
  <c r="D247" i="1"/>
  <c r="F247" i="1"/>
  <c r="G247" i="1"/>
  <c r="H247" i="1"/>
  <c r="C248" i="1"/>
  <c r="D248" i="1"/>
  <c r="F248" i="1"/>
  <c r="G248" i="1"/>
  <c r="H248" i="1"/>
  <c r="C249" i="1"/>
  <c r="D249" i="1"/>
  <c r="F249" i="1"/>
  <c r="G249" i="1"/>
  <c r="H249" i="1"/>
  <c r="C250" i="1"/>
  <c r="D250" i="1"/>
  <c r="C251" i="1"/>
  <c r="D251" i="1"/>
  <c r="F251" i="1"/>
  <c r="G251" i="1"/>
  <c r="H251" i="1"/>
  <c r="C252" i="1"/>
  <c r="D252" i="1"/>
  <c r="F252" i="1"/>
  <c r="G252" i="1"/>
  <c r="H252" i="1"/>
  <c r="C253" i="1"/>
  <c r="D253" i="1"/>
  <c r="F253" i="1"/>
  <c r="G253" i="1"/>
  <c r="H253" i="1"/>
  <c r="C254" i="1"/>
  <c r="D254" i="1"/>
  <c r="F254" i="1"/>
  <c r="G254" i="1"/>
  <c r="H254" i="1"/>
  <c r="C255" i="1"/>
  <c r="D255" i="1"/>
  <c r="C256" i="1"/>
  <c r="D256" i="1"/>
  <c r="F256" i="1"/>
  <c r="G256" i="1"/>
  <c r="H256" i="1"/>
  <c r="C257" i="1"/>
  <c r="D257" i="1"/>
  <c r="F257" i="1"/>
  <c r="G257" i="1"/>
  <c r="H257" i="1"/>
  <c r="C258" i="1"/>
  <c r="D258" i="1"/>
  <c r="F258" i="1"/>
  <c r="G258" i="1"/>
  <c r="H258" i="1"/>
  <c r="C259" i="1"/>
  <c r="D259" i="1"/>
  <c r="F259" i="1"/>
  <c r="G259" i="1"/>
  <c r="H259" i="1"/>
  <c r="C260" i="1"/>
  <c r="D260" i="1"/>
  <c r="F260" i="1"/>
  <c r="G260" i="1"/>
  <c r="H260" i="1"/>
  <c r="C261" i="1"/>
  <c r="D261" i="1"/>
  <c r="C262" i="1"/>
  <c r="D262" i="1"/>
  <c r="F262" i="1"/>
  <c r="G262" i="1"/>
  <c r="H262" i="1"/>
  <c r="C263" i="1"/>
  <c r="D263" i="1"/>
  <c r="F263" i="1"/>
  <c r="G263" i="1"/>
  <c r="H263" i="1"/>
  <c r="C264" i="1"/>
  <c r="D264" i="1"/>
  <c r="F264" i="1"/>
  <c r="G264" i="1"/>
  <c r="H264" i="1"/>
  <c r="C265" i="1"/>
  <c r="D265" i="1"/>
  <c r="F265" i="1"/>
  <c r="G265" i="1"/>
  <c r="H265" i="1"/>
  <c r="C266" i="1"/>
  <c r="D266" i="1"/>
  <c r="C267" i="1"/>
  <c r="D267" i="1"/>
  <c r="F267" i="1"/>
  <c r="G267" i="1"/>
  <c r="H267" i="1"/>
  <c r="C268" i="1"/>
  <c r="D268" i="1"/>
  <c r="F268" i="1"/>
  <c r="G268" i="1"/>
  <c r="H268" i="1"/>
  <c r="C269" i="1"/>
  <c r="D269" i="1"/>
  <c r="C270" i="1"/>
  <c r="D270" i="1"/>
  <c r="F270" i="1"/>
  <c r="G270" i="1"/>
  <c r="H270" i="1"/>
  <c r="C271" i="1"/>
  <c r="D271" i="1"/>
  <c r="F271" i="1"/>
  <c r="G271" i="1"/>
  <c r="H271" i="1"/>
  <c r="C272" i="1"/>
  <c r="D272" i="1"/>
  <c r="C273" i="1"/>
  <c r="D273" i="1"/>
  <c r="F273" i="1"/>
  <c r="G273" i="1"/>
  <c r="H273" i="1"/>
  <c r="C274" i="1"/>
  <c r="D274" i="1"/>
  <c r="F274" i="1"/>
  <c r="G274" i="1"/>
  <c r="H274" i="1"/>
  <c r="C275" i="1"/>
  <c r="D275" i="1"/>
  <c r="F275" i="1"/>
  <c r="G275" i="1"/>
  <c r="H275" i="1"/>
  <c r="C276" i="1"/>
  <c r="D276" i="1"/>
  <c r="F276" i="1"/>
  <c r="G276" i="1"/>
  <c r="H276" i="1"/>
  <c r="C277" i="1"/>
  <c r="D277" i="1"/>
  <c r="C278" i="1"/>
  <c r="D278" i="1"/>
  <c r="F278" i="1"/>
  <c r="G278" i="1"/>
  <c r="H278" i="1"/>
  <c r="C279" i="1"/>
  <c r="D279" i="1"/>
  <c r="F279" i="1"/>
  <c r="G279" i="1"/>
  <c r="H279" i="1"/>
  <c r="C280" i="1"/>
  <c r="D280" i="1"/>
  <c r="F280" i="1"/>
  <c r="G280" i="1"/>
  <c r="H280" i="1"/>
  <c r="C281" i="1"/>
  <c r="D281" i="1"/>
  <c r="F281" i="1"/>
  <c r="G281" i="1"/>
  <c r="H281" i="1"/>
  <c r="C282" i="1"/>
  <c r="D282" i="1"/>
  <c r="C283" i="1"/>
  <c r="D283" i="1"/>
  <c r="F283" i="1"/>
  <c r="G283" i="1"/>
  <c r="H283" i="1"/>
  <c r="C284" i="1"/>
  <c r="D284" i="1"/>
  <c r="F284" i="1"/>
  <c r="G284" i="1"/>
  <c r="H284" i="1"/>
  <c r="C285" i="1"/>
  <c r="D285" i="1"/>
  <c r="F285" i="1"/>
  <c r="G285" i="1"/>
  <c r="H285" i="1"/>
  <c r="C286" i="1"/>
  <c r="D286" i="1"/>
  <c r="F286" i="1"/>
  <c r="G286" i="1"/>
  <c r="H286" i="1"/>
  <c r="C287" i="1"/>
  <c r="D287" i="1"/>
  <c r="C288" i="1"/>
  <c r="D288" i="1"/>
  <c r="F288" i="1"/>
  <c r="G288" i="1"/>
  <c r="H288" i="1"/>
  <c r="C289" i="1"/>
  <c r="D289" i="1"/>
  <c r="F289" i="1"/>
  <c r="G289" i="1"/>
  <c r="H289" i="1"/>
  <c r="C290" i="1"/>
  <c r="D290" i="1"/>
  <c r="F290" i="1"/>
  <c r="G290" i="1"/>
  <c r="H290" i="1"/>
  <c r="C291" i="1"/>
  <c r="D291" i="1"/>
  <c r="F291" i="1"/>
  <c r="G291" i="1"/>
  <c r="H291" i="1"/>
  <c r="C292" i="1"/>
  <c r="D292" i="1"/>
  <c r="C293" i="1"/>
  <c r="D293" i="1"/>
  <c r="F293" i="1"/>
  <c r="G293" i="1"/>
  <c r="H293" i="1"/>
  <c r="C294" i="1"/>
  <c r="D294" i="1"/>
  <c r="F294" i="1"/>
  <c r="G294" i="1"/>
  <c r="H294" i="1"/>
  <c r="C295" i="1"/>
  <c r="D295" i="1"/>
  <c r="F295" i="1"/>
  <c r="G295" i="1"/>
  <c r="H295" i="1"/>
  <c r="C296" i="1"/>
  <c r="D296" i="1"/>
  <c r="C297" i="1"/>
  <c r="D297" i="1"/>
  <c r="F297" i="1"/>
  <c r="G297" i="1"/>
  <c r="H297" i="1"/>
  <c r="C298" i="1"/>
  <c r="D298" i="1"/>
  <c r="F298" i="1"/>
  <c r="G298" i="1"/>
  <c r="H298" i="1"/>
  <c r="C299" i="1"/>
  <c r="D299" i="1"/>
  <c r="F299" i="1"/>
  <c r="G299" i="1"/>
  <c r="H299" i="1"/>
  <c r="C300" i="1"/>
  <c r="D300" i="1"/>
  <c r="C301" i="1"/>
  <c r="D301" i="1"/>
  <c r="F301" i="1"/>
  <c r="G301" i="1"/>
  <c r="H301" i="1"/>
  <c r="C302" i="1"/>
  <c r="D302" i="1"/>
  <c r="F302" i="1"/>
  <c r="G302" i="1"/>
  <c r="H302" i="1"/>
  <c r="C303" i="1"/>
  <c r="D303" i="1"/>
  <c r="F303" i="1"/>
  <c r="G303" i="1"/>
  <c r="H303" i="1"/>
  <c r="C304" i="1"/>
  <c r="D304" i="1"/>
  <c r="C305" i="1"/>
  <c r="D305" i="1"/>
  <c r="F305" i="1"/>
  <c r="G305" i="1"/>
  <c r="H305" i="1"/>
  <c r="C306" i="1"/>
  <c r="D306" i="1"/>
  <c r="F306" i="1"/>
  <c r="G306" i="1"/>
  <c r="H306" i="1"/>
  <c r="C307" i="1"/>
  <c r="D307" i="1"/>
  <c r="C308" i="1"/>
  <c r="D308" i="1"/>
  <c r="F308" i="1"/>
  <c r="G308" i="1"/>
  <c r="H308" i="1"/>
  <c r="C309" i="1"/>
  <c r="D309" i="1"/>
  <c r="F309" i="1"/>
  <c r="G309" i="1"/>
  <c r="H309" i="1"/>
  <c r="C310" i="1"/>
  <c r="D310" i="1"/>
  <c r="F310" i="1"/>
  <c r="G310" i="1"/>
  <c r="H310" i="1"/>
  <c r="C311" i="1"/>
  <c r="D311" i="1"/>
  <c r="C312" i="1"/>
  <c r="D312" i="1"/>
  <c r="F312" i="1"/>
  <c r="G312" i="1"/>
  <c r="H312" i="1"/>
  <c r="C313" i="1"/>
  <c r="D313" i="1"/>
  <c r="F313" i="1"/>
  <c r="G313" i="1"/>
  <c r="H313" i="1"/>
  <c r="C314" i="1"/>
  <c r="D314" i="1"/>
  <c r="F314" i="1"/>
  <c r="G314" i="1"/>
  <c r="H314" i="1"/>
  <c r="C315" i="1"/>
  <c r="D315" i="1"/>
  <c r="C316" i="1"/>
  <c r="D316" i="1"/>
  <c r="F316" i="1"/>
  <c r="G316" i="1"/>
  <c r="H316" i="1"/>
  <c r="C317" i="1"/>
  <c r="D317" i="1"/>
  <c r="F317" i="1"/>
  <c r="G317" i="1"/>
  <c r="H317" i="1"/>
  <c r="C318" i="1"/>
  <c r="D318" i="1"/>
  <c r="C319" i="1"/>
  <c r="D319" i="1"/>
  <c r="F319" i="1"/>
  <c r="G319" i="1"/>
  <c r="H319" i="1"/>
  <c r="C320" i="1"/>
  <c r="D320" i="1"/>
  <c r="F320" i="1"/>
  <c r="G320" i="1"/>
  <c r="H320" i="1"/>
  <c r="C321" i="1"/>
  <c r="D321" i="1"/>
  <c r="F321" i="1"/>
  <c r="G321" i="1"/>
  <c r="H321" i="1"/>
  <c r="C322" i="1"/>
  <c r="D322" i="1"/>
  <c r="C323" i="1"/>
  <c r="D323" i="1"/>
  <c r="F323" i="1"/>
  <c r="G323" i="1"/>
  <c r="H323" i="1"/>
  <c r="C324" i="1"/>
  <c r="D324" i="1"/>
  <c r="F324" i="1"/>
  <c r="G324" i="1"/>
  <c r="H324" i="1"/>
  <c r="C325" i="1"/>
  <c r="D325" i="1"/>
  <c r="F325" i="1"/>
  <c r="G325" i="1"/>
  <c r="H325" i="1"/>
  <c r="C326" i="1"/>
  <c r="D326" i="1"/>
  <c r="C327" i="1"/>
  <c r="D327" i="1"/>
  <c r="F327" i="1"/>
  <c r="G327" i="1"/>
  <c r="H327" i="1"/>
  <c r="C328" i="1"/>
  <c r="D328" i="1"/>
  <c r="F328" i="1"/>
  <c r="G328" i="1"/>
  <c r="H328" i="1"/>
  <c r="C329" i="1"/>
  <c r="D329" i="1"/>
  <c r="C330" i="1"/>
  <c r="D330" i="1"/>
  <c r="F330" i="1"/>
  <c r="G330" i="1"/>
  <c r="H330" i="1"/>
  <c r="C331" i="1"/>
  <c r="D331" i="1"/>
  <c r="F331" i="1"/>
  <c r="G331" i="1"/>
  <c r="H331" i="1"/>
  <c r="C332" i="1"/>
  <c r="D332" i="1"/>
  <c r="F332" i="1"/>
  <c r="G332" i="1"/>
  <c r="H332" i="1"/>
  <c r="C333" i="1"/>
  <c r="D333" i="1"/>
  <c r="C334" i="1"/>
  <c r="D334" i="1"/>
  <c r="F334" i="1"/>
  <c r="G334" i="1"/>
  <c r="H334" i="1"/>
  <c r="C335" i="1"/>
  <c r="D335" i="1"/>
  <c r="F335" i="1"/>
  <c r="G335" i="1"/>
  <c r="H335" i="1"/>
  <c r="C336" i="1"/>
  <c r="D336" i="1"/>
  <c r="F336" i="1"/>
  <c r="G336" i="1"/>
  <c r="H336" i="1"/>
  <c r="C337" i="1"/>
  <c r="D337" i="1"/>
  <c r="C338" i="1"/>
  <c r="D338" i="1"/>
  <c r="F338" i="1"/>
  <c r="G338" i="1"/>
  <c r="C339" i="1"/>
  <c r="D339" i="1"/>
  <c r="F339" i="1"/>
  <c r="G339" i="1"/>
  <c r="H339" i="1"/>
  <c r="C340" i="1"/>
  <c r="D340" i="1"/>
  <c r="C341" i="1"/>
  <c r="D341" i="1"/>
  <c r="F341" i="1"/>
  <c r="G341" i="1"/>
  <c r="H341" i="1"/>
  <c r="C342" i="1"/>
  <c r="D342" i="1"/>
  <c r="F342" i="1"/>
  <c r="G342" i="1"/>
  <c r="H342" i="1"/>
  <c r="C343" i="1"/>
  <c r="D343" i="1"/>
  <c r="F343" i="1"/>
  <c r="G343" i="1"/>
  <c r="H343" i="1"/>
  <c r="C344" i="1"/>
  <c r="D344" i="1"/>
  <c r="C345" i="1"/>
  <c r="D345" i="1"/>
  <c r="F345" i="1"/>
  <c r="G345" i="1"/>
  <c r="H345" i="1"/>
  <c r="C346" i="1"/>
  <c r="D346" i="1"/>
  <c r="F346" i="1"/>
  <c r="G346" i="1"/>
  <c r="H346" i="1"/>
  <c r="C347" i="1"/>
  <c r="D347" i="1"/>
  <c r="F347" i="1"/>
  <c r="G347" i="1"/>
  <c r="H347" i="1"/>
  <c r="C348" i="1"/>
  <c r="D348" i="1"/>
  <c r="F348" i="1"/>
  <c r="G348" i="1"/>
  <c r="H348" i="1"/>
  <c r="C349" i="1"/>
  <c r="D349" i="1"/>
  <c r="C350" i="1"/>
  <c r="D350" i="1"/>
  <c r="F350" i="1"/>
  <c r="G350" i="1"/>
  <c r="H350" i="1"/>
  <c r="C351" i="1"/>
  <c r="D351" i="1"/>
  <c r="F351" i="1"/>
  <c r="G351" i="1"/>
  <c r="H351" i="1"/>
  <c r="C352" i="1"/>
  <c r="D352" i="1"/>
  <c r="F352" i="1"/>
  <c r="G352" i="1"/>
  <c r="H352" i="1"/>
  <c r="C353" i="1"/>
  <c r="D353" i="1"/>
  <c r="C354" i="1"/>
  <c r="D354" i="1"/>
  <c r="F354" i="1"/>
  <c r="G354" i="1"/>
  <c r="H354" i="1"/>
  <c r="C355" i="1"/>
  <c r="D355" i="1"/>
  <c r="F355" i="1"/>
  <c r="G355" i="1"/>
  <c r="H355" i="1"/>
  <c r="C356" i="1"/>
  <c r="D356" i="1"/>
  <c r="F356" i="1"/>
  <c r="G356" i="1"/>
  <c r="H356" i="1"/>
  <c r="C357" i="1"/>
  <c r="D357" i="1"/>
  <c r="C358" i="1"/>
  <c r="D358" i="1"/>
  <c r="F358" i="1"/>
  <c r="G358" i="1"/>
  <c r="H358" i="1"/>
  <c r="C359" i="1"/>
  <c r="D359" i="1"/>
  <c r="F359" i="1"/>
  <c r="G359" i="1"/>
  <c r="H359" i="1"/>
  <c r="C360" i="1"/>
  <c r="D360" i="1"/>
  <c r="F360" i="1"/>
  <c r="G360" i="1"/>
  <c r="H360" i="1"/>
  <c r="C361" i="1"/>
  <c r="D361" i="1"/>
  <c r="C362" i="1"/>
  <c r="D362" i="1"/>
  <c r="F362" i="1"/>
  <c r="G362" i="1"/>
  <c r="H362" i="1"/>
  <c r="C363" i="1"/>
  <c r="D363" i="1"/>
  <c r="F363" i="1"/>
  <c r="G363" i="1"/>
  <c r="H363" i="1"/>
  <c r="C364" i="1"/>
  <c r="D364" i="1"/>
  <c r="F364" i="1"/>
  <c r="G364" i="1"/>
  <c r="H364" i="1"/>
  <c r="C365" i="1"/>
  <c r="D365" i="1"/>
  <c r="C366" i="1"/>
  <c r="D366" i="1"/>
  <c r="F366" i="1"/>
  <c r="G366" i="1"/>
  <c r="H366" i="1"/>
  <c r="C367" i="1"/>
  <c r="D367" i="1"/>
  <c r="F367" i="1"/>
  <c r="G367" i="1"/>
  <c r="H367" i="1"/>
  <c r="C368" i="1"/>
  <c r="D368" i="1"/>
  <c r="F368" i="1"/>
  <c r="G368" i="1"/>
  <c r="H368" i="1"/>
  <c r="C369" i="1"/>
  <c r="D369" i="1"/>
  <c r="C370" i="1"/>
  <c r="D370" i="1"/>
  <c r="F370" i="1"/>
  <c r="G370" i="1"/>
  <c r="H370" i="1"/>
  <c r="C371" i="1"/>
  <c r="D371" i="1"/>
  <c r="F371" i="1"/>
  <c r="G371" i="1"/>
  <c r="H371" i="1"/>
  <c r="C372" i="1"/>
  <c r="D372" i="1"/>
  <c r="F372" i="1"/>
  <c r="G372" i="1"/>
  <c r="H372" i="1"/>
  <c r="C373" i="1"/>
  <c r="D373" i="1"/>
  <c r="F373" i="1"/>
  <c r="G373" i="1"/>
  <c r="H373" i="1"/>
  <c r="C374" i="1"/>
  <c r="D374" i="1"/>
  <c r="C375" i="1"/>
  <c r="D375" i="1"/>
  <c r="F375" i="1"/>
  <c r="G375" i="1"/>
  <c r="H375" i="1"/>
  <c r="C376" i="1"/>
  <c r="D376" i="1"/>
  <c r="F376" i="1"/>
  <c r="G376" i="1"/>
  <c r="H376" i="1"/>
  <c r="C377" i="1"/>
  <c r="D377" i="1"/>
  <c r="F377" i="1"/>
  <c r="G377" i="1"/>
  <c r="H377" i="1"/>
  <c r="C378" i="1"/>
  <c r="D378" i="1"/>
  <c r="F378" i="1"/>
  <c r="G378" i="1"/>
  <c r="H378" i="1"/>
  <c r="C379" i="1"/>
  <c r="D379" i="1"/>
  <c r="C380" i="1"/>
  <c r="D380" i="1"/>
  <c r="F380" i="1"/>
  <c r="G380" i="1"/>
  <c r="H380" i="1"/>
  <c r="C381" i="1"/>
  <c r="D381" i="1"/>
  <c r="F381" i="1"/>
  <c r="G381" i="1"/>
  <c r="H381" i="1"/>
  <c r="C382" i="1"/>
  <c r="D382" i="1"/>
  <c r="C383" i="1"/>
  <c r="D383" i="1"/>
  <c r="F383" i="1"/>
  <c r="G383" i="1"/>
  <c r="H383" i="1"/>
  <c r="C384" i="1"/>
  <c r="D384" i="1"/>
  <c r="F384" i="1"/>
  <c r="G384" i="1"/>
  <c r="H384" i="1"/>
  <c r="C385" i="1"/>
  <c r="D385" i="1"/>
  <c r="C386" i="1"/>
  <c r="D386" i="1"/>
  <c r="F386" i="1"/>
  <c r="G386" i="1"/>
  <c r="H386" i="1"/>
  <c r="C387" i="1"/>
  <c r="D387" i="1"/>
  <c r="F387" i="1"/>
  <c r="G387" i="1"/>
  <c r="H387" i="1"/>
  <c r="C388" i="1"/>
  <c r="D388" i="1"/>
  <c r="C389" i="1"/>
  <c r="D389" i="1"/>
  <c r="F389" i="1"/>
  <c r="G389" i="1"/>
  <c r="H389" i="1"/>
  <c r="C390" i="1"/>
  <c r="D390" i="1"/>
  <c r="F390" i="1"/>
  <c r="G390" i="1"/>
  <c r="H390" i="1"/>
  <c r="C391" i="1"/>
  <c r="D391" i="1"/>
  <c r="F391" i="1"/>
  <c r="G391" i="1"/>
  <c r="C392" i="1"/>
  <c r="D392" i="1"/>
  <c r="F392" i="1"/>
  <c r="G392" i="1"/>
  <c r="H392" i="1"/>
  <c r="C393" i="1"/>
  <c r="D393" i="1"/>
  <c r="C394" i="1"/>
  <c r="D394" i="1"/>
  <c r="F394" i="1"/>
  <c r="G394" i="1"/>
  <c r="H394" i="1"/>
  <c r="C395" i="1"/>
  <c r="D395" i="1"/>
  <c r="F395" i="1"/>
  <c r="G395" i="1"/>
  <c r="H395" i="1"/>
  <c r="C396" i="1"/>
  <c r="D396" i="1"/>
  <c r="C397" i="1"/>
  <c r="D397" i="1"/>
  <c r="F397" i="1"/>
  <c r="G397" i="1"/>
  <c r="H397" i="1"/>
  <c r="C398" i="1"/>
  <c r="D398" i="1"/>
  <c r="F398" i="1"/>
  <c r="G398" i="1"/>
  <c r="H398" i="1"/>
  <c r="C399" i="1"/>
  <c r="D399" i="1"/>
  <c r="F399" i="1"/>
  <c r="G399" i="1"/>
  <c r="H399" i="1"/>
  <c r="C400" i="1"/>
  <c r="D400" i="1"/>
  <c r="F400" i="1"/>
  <c r="G400" i="1"/>
  <c r="H400" i="1"/>
  <c r="C401" i="1"/>
  <c r="D401" i="1"/>
  <c r="C402" i="1"/>
  <c r="D402" i="1"/>
  <c r="F402" i="1"/>
  <c r="G402" i="1"/>
  <c r="H402" i="1"/>
  <c r="C403" i="1"/>
  <c r="D403" i="1"/>
  <c r="F403" i="1"/>
  <c r="G403" i="1"/>
  <c r="H403" i="1"/>
  <c r="C404" i="1"/>
  <c r="D404" i="1"/>
  <c r="C405" i="1"/>
  <c r="D405" i="1"/>
  <c r="F405" i="1"/>
  <c r="G405" i="1"/>
  <c r="H405" i="1"/>
  <c r="C406" i="1"/>
  <c r="D406" i="1"/>
  <c r="F406" i="1"/>
  <c r="G406" i="1"/>
  <c r="H406" i="1"/>
  <c r="C407" i="1"/>
  <c r="D407" i="1"/>
  <c r="F407" i="1"/>
  <c r="G407" i="1"/>
  <c r="H407" i="1"/>
  <c r="C408" i="1"/>
  <c r="D408" i="1"/>
  <c r="C409" i="1"/>
  <c r="D409" i="1"/>
  <c r="F409" i="1"/>
  <c r="G409" i="1"/>
  <c r="H409" i="1"/>
  <c r="C410" i="1"/>
  <c r="D410" i="1"/>
  <c r="F410" i="1"/>
  <c r="G410" i="1"/>
  <c r="H410" i="1"/>
  <c r="C411" i="1"/>
  <c r="D411" i="1"/>
  <c r="C412" i="1"/>
  <c r="D412" i="1"/>
  <c r="F412" i="1"/>
  <c r="G412" i="1"/>
  <c r="H412" i="1"/>
  <c r="C413" i="1"/>
  <c r="D413" i="1"/>
  <c r="F413" i="1"/>
  <c r="G413" i="1"/>
  <c r="H413" i="1"/>
  <c r="C414" i="1"/>
  <c r="D414" i="1"/>
  <c r="C415" i="1"/>
  <c r="D415" i="1"/>
  <c r="F415" i="1"/>
  <c r="G415" i="1"/>
  <c r="H415" i="1"/>
  <c r="C416" i="1"/>
  <c r="D416" i="1"/>
  <c r="F416" i="1"/>
  <c r="G416" i="1"/>
  <c r="H416" i="1"/>
  <c r="C417" i="1"/>
  <c r="D417" i="1"/>
  <c r="F417" i="1"/>
  <c r="G417" i="1"/>
  <c r="H417" i="1"/>
  <c r="C418" i="1"/>
  <c r="D418" i="1"/>
  <c r="C419" i="1"/>
  <c r="D419" i="1"/>
  <c r="F419" i="1"/>
  <c r="G419" i="1"/>
  <c r="H419" i="1"/>
  <c r="C420" i="1"/>
  <c r="D420" i="1"/>
  <c r="F420" i="1"/>
  <c r="G420" i="1"/>
  <c r="H420" i="1"/>
  <c r="C421" i="1"/>
  <c r="D421" i="1"/>
  <c r="C422" i="1"/>
  <c r="D422" i="1"/>
  <c r="F422" i="1"/>
  <c r="G422" i="1"/>
  <c r="H422" i="1"/>
  <c r="C423" i="1"/>
  <c r="D423" i="1"/>
  <c r="F423" i="1"/>
  <c r="G423" i="1"/>
  <c r="H423" i="1"/>
  <c r="C424" i="1"/>
  <c r="D424" i="1"/>
  <c r="C425" i="1"/>
  <c r="D425" i="1"/>
  <c r="F425" i="1"/>
  <c r="G425" i="1"/>
  <c r="H425" i="1"/>
  <c r="C426" i="1"/>
  <c r="D426" i="1"/>
  <c r="F426" i="1"/>
  <c r="G426" i="1"/>
  <c r="H426" i="1"/>
  <c r="C427" i="1"/>
  <c r="D427" i="1"/>
  <c r="F427" i="1"/>
  <c r="G427" i="1"/>
  <c r="H427" i="1"/>
  <c r="C428" i="1"/>
  <c r="D428" i="1"/>
  <c r="C429" i="1"/>
  <c r="D429" i="1"/>
  <c r="F429" i="1"/>
  <c r="G429" i="1"/>
  <c r="H429" i="1"/>
  <c r="C430" i="1"/>
  <c r="D430" i="1"/>
  <c r="F430" i="1"/>
  <c r="G430" i="1"/>
  <c r="H430" i="1"/>
  <c r="C431" i="1"/>
  <c r="D431" i="1"/>
  <c r="C432" i="1"/>
  <c r="D432" i="1"/>
  <c r="F432" i="1"/>
  <c r="G432" i="1"/>
  <c r="H432" i="1"/>
  <c r="C433" i="1"/>
  <c r="D433" i="1"/>
  <c r="F433" i="1"/>
  <c r="G433" i="1"/>
  <c r="H433" i="1"/>
  <c r="C434" i="1"/>
  <c r="D434" i="1"/>
  <c r="C435" i="1"/>
  <c r="D435" i="1"/>
  <c r="F435" i="1"/>
  <c r="G435" i="1"/>
  <c r="H435" i="1"/>
  <c r="C436" i="1"/>
  <c r="D436" i="1"/>
  <c r="F436" i="1"/>
  <c r="G436" i="1"/>
  <c r="H436" i="1"/>
  <c r="C437" i="1"/>
  <c r="D437" i="1"/>
  <c r="F437" i="1"/>
  <c r="G437" i="1"/>
  <c r="H437" i="1"/>
  <c r="C438" i="1"/>
  <c r="D438" i="1"/>
  <c r="C439" i="1"/>
  <c r="D439" i="1"/>
  <c r="F439" i="1"/>
  <c r="G439" i="1"/>
  <c r="H439" i="1"/>
  <c r="C440" i="1"/>
  <c r="D440" i="1"/>
  <c r="F440" i="1"/>
  <c r="G440" i="1"/>
  <c r="H440" i="1"/>
  <c r="C441" i="1"/>
  <c r="D441" i="1"/>
  <c r="F441" i="1"/>
  <c r="G441" i="1"/>
  <c r="H441" i="1"/>
  <c r="C442" i="1"/>
  <c r="D442" i="1"/>
  <c r="C443" i="1"/>
  <c r="D443" i="1"/>
  <c r="F443" i="1"/>
  <c r="G443" i="1"/>
  <c r="H443" i="1"/>
  <c r="C444" i="1"/>
  <c r="D444" i="1"/>
  <c r="F444" i="1"/>
  <c r="G444" i="1"/>
  <c r="H444" i="1"/>
  <c r="C445" i="1"/>
  <c r="D445" i="1"/>
  <c r="F445" i="1"/>
  <c r="G445" i="1"/>
  <c r="H445" i="1"/>
  <c r="C446" i="1"/>
  <c r="D446" i="1"/>
  <c r="C447" i="1"/>
  <c r="D447" i="1"/>
  <c r="F447" i="1"/>
  <c r="G447" i="1"/>
  <c r="H447" i="1"/>
  <c r="C448" i="1"/>
  <c r="D448" i="1"/>
  <c r="F448" i="1"/>
  <c r="G448" i="1"/>
  <c r="H448" i="1"/>
  <c r="C449" i="1"/>
  <c r="D449" i="1"/>
  <c r="C450" i="1"/>
  <c r="D450" i="1"/>
  <c r="F450" i="1"/>
  <c r="G450" i="1"/>
  <c r="H450" i="1"/>
  <c r="C451" i="1"/>
  <c r="D451" i="1"/>
  <c r="F451" i="1"/>
  <c r="G451" i="1"/>
  <c r="H451" i="1"/>
  <c r="C452" i="1"/>
  <c r="D452" i="1"/>
  <c r="C453" i="1"/>
  <c r="D453" i="1"/>
  <c r="F453" i="1"/>
  <c r="G453" i="1"/>
  <c r="H453" i="1"/>
  <c r="C454" i="1"/>
  <c r="D454" i="1"/>
  <c r="F454" i="1"/>
  <c r="G454" i="1"/>
  <c r="H454" i="1"/>
  <c r="C455" i="1"/>
  <c r="D455" i="1"/>
  <c r="C456" i="1"/>
  <c r="D456" i="1"/>
  <c r="F456" i="1"/>
  <c r="G456" i="1"/>
  <c r="H456" i="1"/>
  <c r="C457" i="1"/>
  <c r="D457" i="1"/>
  <c r="F457" i="1"/>
  <c r="G457" i="1"/>
  <c r="H457" i="1"/>
  <c r="C458" i="1"/>
  <c r="D458" i="1"/>
  <c r="C459" i="1"/>
  <c r="D459" i="1"/>
  <c r="F459" i="1"/>
  <c r="G459" i="1"/>
  <c r="H459" i="1"/>
  <c r="C460" i="1"/>
  <c r="D460" i="1"/>
  <c r="F460" i="1"/>
  <c r="G460" i="1"/>
  <c r="H460" i="1"/>
  <c r="C461" i="1"/>
  <c r="D461" i="1"/>
  <c r="F461" i="1"/>
  <c r="G461" i="1"/>
  <c r="H461" i="1"/>
  <c r="C462" i="1"/>
  <c r="D462" i="1"/>
  <c r="C6" i="3"/>
  <c r="D6" i="3"/>
  <c r="E6" i="3"/>
  <c r="F6" i="3"/>
  <c r="G6" i="3"/>
  <c r="H6" i="3"/>
  <c r="I6" i="3"/>
  <c r="J6" i="3"/>
  <c r="K6" i="3"/>
  <c r="L6" i="3"/>
  <c r="C7" i="3"/>
  <c r="D7" i="3"/>
  <c r="E7" i="3"/>
  <c r="F7" i="3"/>
  <c r="G7" i="3"/>
  <c r="H7" i="3"/>
  <c r="I7" i="3"/>
  <c r="J7" i="3"/>
  <c r="K7" i="3"/>
  <c r="L7" i="3"/>
  <c r="C8" i="3"/>
  <c r="D8" i="3"/>
  <c r="E8" i="3"/>
  <c r="F8" i="3"/>
  <c r="G8" i="3"/>
  <c r="H8" i="3"/>
  <c r="I8" i="3"/>
  <c r="J8" i="3"/>
  <c r="K8" i="3"/>
  <c r="L8" i="3"/>
  <c r="C9" i="3"/>
  <c r="D9" i="3"/>
  <c r="E9" i="3"/>
  <c r="F9" i="3"/>
  <c r="G9" i="3"/>
  <c r="H9" i="3"/>
  <c r="I9" i="3"/>
  <c r="J9" i="3"/>
  <c r="K9" i="3"/>
  <c r="L9" i="3"/>
  <c r="C10" i="3"/>
  <c r="D10" i="3"/>
  <c r="E10" i="3"/>
  <c r="F10" i="3"/>
  <c r="G10" i="3"/>
  <c r="H10" i="3"/>
  <c r="I10" i="3"/>
  <c r="J10" i="3"/>
  <c r="K10" i="3"/>
  <c r="L10" i="3"/>
  <c r="C11" i="3"/>
  <c r="D11" i="3"/>
  <c r="E11" i="3"/>
  <c r="F11" i="3"/>
  <c r="G11" i="3"/>
  <c r="H11" i="3"/>
  <c r="I11" i="3"/>
  <c r="J11" i="3"/>
  <c r="K11" i="3"/>
  <c r="L11" i="3"/>
  <c r="C12" i="3"/>
  <c r="D12" i="3"/>
  <c r="E12" i="3"/>
  <c r="F12" i="3"/>
  <c r="G12" i="3"/>
  <c r="H12" i="3"/>
  <c r="I12" i="3"/>
  <c r="J12" i="3"/>
  <c r="K12" i="3"/>
  <c r="L12" i="3"/>
  <c r="C13" i="3"/>
  <c r="D13" i="3"/>
  <c r="E13" i="3"/>
  <c r="F13" i="3"/>
  <c r="G13" i="3"/>
  <c r="H13" i="3"/>
  <c r="I13" i="3"/>
  <c r="J13" i="3"/>
  <c r="K13" i="3"/>
  <c r="L13" i="3"/>
  <c r="C14" i="3"/>
  <c r="D14" i="3"/>
  <c r="E14" i="3"/>
  <c r="F14" i="3"/>
  <c r="G14" i="3"/>
  <c r="H14" i="3"/>
  <c r="I14" i="3"/>
  <c r="J14" i="3"/>
  <c r="K14" i="3"/>
  <c r="L14" i="3"/>
  <c r="C15" i="3"/>
  <c r="D15" i="3"/>
  <c r="E15" i="3"/>
  <c r="F15" i="3"/>
  <c r="G15" i="3"/>
  <c r="H15" i="3"/>
  <c r="I15" i="3"/>
  <c r="J15" i="3"/>
  <c r="K15" i="3"/>
  <c r="L15" i="3"/>
  <c r="C16" i="3"/>
  <c r="D16" i="3"/>
  <c r="E16" i="3"/>
  <c r="F16" i="3"/>
  <c r="G16" i="3"/>
  <c r="H16" i="3"/>
  <c r="I16" i="3"/>
  <c r="J16" i="3"/>
  <c r="K16" i="3"/>
  <c r="L16" i="3"/>
  <c r="C17" i="3"/>
  <c r="D17" i="3"/>
  <c r="E17" i="3"/>
  <c r="F17" i="3"/>
  <c r="G17" i="3"/>
  <c r="H17" i="3"/>
  <c r="I17" i="3"/>
  <c r="J17" i="3"/>
  <c r="K17" i="3"/>
  <c r="L17" i="3"/>
  <c r="C18" i="3"/>
  <c r="D18" i="3"/>
  <c r="E18" i="3"/>
  <c r="F18" i="3"/>
  <c r="G18" i="3"/>
  <c r="H18" i="3"/>
  <c r="I18" i="3"/>
  <c r="J18" i="3"/>
  <c r="K18" i="3"/>
  <c r="L18" i="3"/>
  <c r="C19" i="3"/>
  <c r="D19" i="3"/>
  <c r="E19" i="3"/>
  <c r="F19" i="3"/>
  <c r="G19" i="3"/>
  <c r="H19" i="3"/>
  <c r="I19" i="3"/>
  <c r="J19" i="3"/>
  <c r="K19" i="3"/>
  <c r="L19" i="3"/>
  <c r="C20" i="3"/>
  <c r="D20" i="3"/>
  <c r="E20" i="3"/>
  <c r="F20" i="3"/>
  <c r="G20" i="3"/>
  <c r="H20" i="3"/>
  <c r="I20" i="3"/>
  <c r="J20" i="3"/>
  <c r="K20" i="3"/>
  <c r="L20" i="3"/>
  <c r="C21" i="3"/>
  <c r="D21" i="3"/>
  <c r="E21" i="3"/>
  <c r="F21" i="3"/>
  <c r="G21" i="3"/>
  <c r="H21" i="3"/>
  <c r="I21" i="3"/>
  <c r="J21" i="3"/>
  <c r="K21" i="3"/>
  <c r="L21" i="3"/>
  <c r="C22" i="3"/>
  <c r="D22" i="3"/>
  <c r="F22" i="3"/>
  <c r="G22" i="3"/>
  <c r="H22" i="3"/>
  <c r="I22" i="3"/>
  <c r="J22" i="3"/>
  <c r="K22" i="3"/>
  <c r="L22" i="3"/>
  <c r="C23" i="3"/>
  <c r="D23" i="3"/>
  <c r="F23" i="3"/>
  <c r="G23" i="3"/>
  <c r="H23" i="3"/>
  <c r="I23" i="3"/>
  <c r="J23" i="3"/>
  <c r="K23" i="3"/>
  <c r="L23" i="3"/>
  <c r="C24" i="3"/>
  <c r="D24" i="3"/>
  <c r="E24" i="3"/>
  <c r="F24" i="3"/>
  <c r="G24" i="3"/>
  <c r="H24" i="3"/>
  <c r="I24" i="3"/>
  <c r="J24" i="3"/>
  <c r="K24" i="3"/>
  <c r="L24" i="3"/>
  <c r="C25" i="3"/>
  <c r="D25" i="3"/>
  <c r="E25" i="3"/>
  <c r="F25" i="3"/>
  <c r="G25" i="3"/>
  <c r="H25" i="3"/>
  <c r="I25" i="3"/>
  <c r="J25" i="3"/>
  <c r="K25" i="3"/>
  <c r="L25" i="3"/>
  <c r="C26" i="3"/>
  <c r="D26" i="3"/>
  <c r="E26" i="3"/>
  <c r="F26" i="3"/>
  <c r="G26" i="3"/>
  <c r="H26" i="3"/>
  <c r="I26" i="3"/>
  <c r="J26" i="3"/>
  <c r="K26" i="3"/>
  <c r="L26" i="3"/>
  <c r="C27" i="3"/>
  <c r="D27" i="3"/>
  <c r="E27" i="3"/>
  <c r="F27" i="3"/>
  <c r="G27" i="3"/>
  <c r="H27" i="3"/>
  <c r="I27" i="3"/>
  <c r="J27" i="3"/>
  <c r="K27" i="3"/>
  <c r="L27" i="3"/>
  <c r="C28" i="3"/>
  <c r="D28" i="3"/>
  <c r="E28" i="3"/>
  <c r="F28" i="3"/>
  <c r="G28" i="3"/>
  <c r="H28" i="3"/>
  <c r="I28" i="3"/>
  <c r="J28" i="3"/>
  <c r="K28" i="3"/>
  <c r="L28" i="3"/>
  <c r="C29" i="3"/>
  <c r="D29" i="3"/>
  <c r="E29" i="3"/>
  <c r="F29" i="3"/>
  <c r="G29" i="3"/>
  <c r="H29" i="3"/>
  <c r="I29" i="3"/>
  <c r="J29" i="3"/>
  <c r="K29" i="3"/>
  <c r="L29" i="3"/>
  <c r="C30" i="3"/>
  <c r="D30" i="3"/>
  <c r="E30" i="3"/>
  <c r="F30" i="3"/>
  <c r="G30" i="3"/>
  <c r="H30" i="3"/>
  <c r="I30" i="3"/>
  <c r="J30" i="3"/>
  <c r="K30" i="3"/>
  <c r="L30" i="3"/>
  <c r="C31" i="3"/>
  <c r="D31" i="3"/>
  <c r="E31" i="3"/>
  <c r="F31" i="3"/>
  <c r="G31" i="3"/>
  <c r="H31" i="3"/>
  <c r="I31" i="3"/>
  <c r="J31" i="3"/>
  <c r="K31" i="3"/>
  <c r="L31" i="3"/>
  <c r="C32" i="3"/>
  <c r="D32" i="3"/>
  <c r="E32" i="3"/>
  <c r="F32" i="3"/>
  <c r="G32" i="3"/>
  <c r="H32" i="3"/>
  <c r="I32" i="3"/>
  <c r="J32" i="3"/>
  <c r="K32" i="3"/>
  <c r="L32" i="3"/>
  <c r="C33" i="3"/>
  <c r="D33" i="3"/>
  <c r="E33" i="3"/>
  <c r="F33" i="3"/>
  <c r="G33" i="3"/>
  <c r="H33" i="3"/>
  <c r="I33" i="3"/>
  <c r="J33" i="3"/>
  <c r="K33" i="3"/>
  <c r="L33" i="3"/>
  <c r="C34" i="3"/>
  <c r="D34" i="3"/>
  <c r="E34" i="3"/>
  <c r="F34" i="3"/>
  <c r="G34" i="3"/>
  <c r="H34" i="3"/>
  <c r="I34" i="3"/>
  <c r="J34" i="3"/>
  <c r="K34" i="3"/>
  <c r="L34" i="3"/>
  <c r="C35" i="3"/>
  <c r="D35" i="3"/>
  <c r="E35" i="3"/>
  <c r="F35" i="3"/>
  <c r="G35" i="3"/>
  <c r="H35" i="3"/>
  <c r="I35" i="3"/>
  <c r="J35" i="3"/>
  <c r="K35" i="3"/>
  <c r="L35" i="3"/>
  <c r="C36" i="3"/>
  <c r="D36" i="3"/>
  <c r="E36" i="3"/>
  <c r="F36" i="3"/>
  <c r="G36" i="3"/>
  <c r="H36" i="3"/>
  <c r="I36" i="3"/>
  <c r="J36" i="3"/>
  <c r="K36" i="3"/>
  <c r="L36" i="3"/>
  <c r="C37" i="3"/>
  <c r="D37" i="3"/>
  <c r="E37" i="3"/>
  <c r="F37" i="3"/>
  <c r="G37" i="3"/>
  <c r="H37" i="3"/>
  <c r="I37" i="3"/>
  <c r="J37" i="3"/>
  <c r="K37" i="3"/>
  <c r="L37" i="3"/>
  <c r="C38" i="3"/>
  <c r="D38" i="3"/>
  <c r="E38" i="3"/>
  <c r="F38" i="3"/>
  <c r="G38" i="3"/>
  <c r="H38" i="3"/>
  <c r="I38" i="3"/>
  <c r="J38" i="3"/>
  <c r="K38" i="3"/>
  <c r="L38" i="3"/>
  <c r="C39" i="3"/>
  <c r="D39" i="3"/>
  <c r="E39" i="3"/>
  <c r="F39" i="3"/>
  <c r="G39" i="3"/>
  <c r="H39" i="3"/>
  <c r="I39" i="3"/>
  <c r="J39" i="3"/>
  <c r="K39" i="3"/>
  <c r="L39" i="3"/>
  <c r="C40" i="3"/>
  <c r="D40" i="3"/>
  <c r="E40" i="3"/>
  <c r="F40" i="3"/>
  <c r="G40" i="3"/>
  <c r="H40" i="3"/>
  <c r="I40" i="3"/>
  <c r="J40" i="3"/>
  <c r="K40" i="3"/>
  <c r="L40" i="3"/>
  <c r="C41" i="3"/>
  <c r="D41" i="3"/>
  <c r="E41" i="3"/>
  <c r="F41" i="3"/>
  <c r="G41" i="3"/>
  <c r="H41" i="3"/>
  <c r="I41" i="3"/>
  <c r="J41" i="3"/>
  <c r="K41" i="3"/>
  <c r="L41" i="3"/>
  <c r="C42" i="3"/>
  <c r="D42" i="3"/>
  <c r="E42" i="3"/>
  <c r="F42" i="3"/>
  <c r="G42" i="3"/>
  <c r="H42" i="3"/>
  <c r="I42" i="3"/>
  <c r="J42" i="3"/>
  <c r="K42" i="3"/>
  <c r="L42" i="3"/>
  <c r="C43" i="3"/>
  <c r="D43" i="3"/>
  <c r="E43" i="3"/>
  <c r="F43" i="3"/>
  <c r="G43" i="3"/>
  <c r="H43" i="3"/>
  <c r="I43" i="3"/>
  <c r="J43" i="3"/>
  <c r="K43" i="3"/>
  <c r="L43" i="3"/>
  <c r="C44" i="3"/>
  <c r="D44" i="3"/>
  <c r="E44" i="3"/>
  <c r="F44" i="3"/>
  <c r="G44" i="3"/>
  <c r="H44" i="3"/>
  <c r="I44" i="3"/>
  <c r="J44" i="3"/>
  <c r="K44" i="3"/>
  <c r="L44" i="3"/>
  <c r="C45" i="3"/>
  <c r="D45" i="3"/>
  <c r="E45" i="3"/>
  <c r="F45" i="3"/>
  <c r="G45" i="3"/>
  <c r="H45" i="3"/>
  <c r="I45" i="3"/>
  <c r="J45" i="3"/>
  <c r="K45" i="3"/>
  <c r="L45" i="3"/>
  <c r="C46" i="3"/>
  <c r="D46" i="3"/>
  <c r="E46" i="3"/>
  <c r="F46" i="3"/>
  <c r="G46" i="3"/>
  <c r="H46" i="3"/>
  <c r="I46" i="3"/>
  <c r="J46" i="3"/>
  <c r="K46" i="3"/>
  <c r="L46" i="3"/>
  <c r="C47" i="3"/>
  <c r="D47" i="3"/>
  <c r="E47" i="3"/>
  <c r="F47" i="3"/>
  <c r="G47" i="3"/>
  <c r="H47" i="3"/>
  <c r="I47" i="3"/>
  <c r="J47" i="3"/>
  <c r="K47" i="3"/>
  <c r="L47" i="3"/>
  <c r="C48" i="3"/>
  <c r="D48" i="3"/>
  <c r="E48" i="3"/>
  <c r="F48" i="3"/>
  <c r="G48" i="3"/>
  <c r="H48" i="3"/>
  <c r="I48" i="3"/>
  <c r="J48" i="3"/>
  <c r="K48" i="3"/>
  <c r="L48" i="3"/>
  <c r="C49" i="3"/>
  <c r="D49" i="3"/>
  <c r="E49" i="3"/>
  <c r="F49" i="3"/>
  <c r="G49" i="3"/>
  <c r="H49" i="3"/>
  <c r="I49" i="3"/>
  <c r="J49" i="3"/>
  <c r="K49" i="3"/>
  <c r="L49" i="3"/>
  <c r="C50" i="3"/>
  <c r="D50" i="3"/>
  <c r="E50" i="3"/>
  <c r="F50" i="3"/>
  <c r="G50" i="3"/>
  <c r="H50" i="3"/>
  <c r="I50" i="3"/>
  <c r="J50" i="3"/>
  <c r="K50" i="3"/>
  <c r="L50" i="3"/>
  <c r="C51" i="3"/>
  <c r="D51" i="3"/>
  <c r="E51" i="3"/>
  <c r="F51" i="3"/>
  <c r="G51" i="3"/>
  <c r="H51" i="3"/>
  <c r="I51" i="3"/>
  <c r="J51" i="3"/>
  <c r="K51" i="3"/>
  <c r="L51" i="3"/>
  <c r="C52" i="3"/>
  <c r="D52" i="3"/>
  <c r="E52" i="3"/>
  <c r="F52" i="3"/>
  <c r="G52" i="3"/>
  <c r="H52" i="3"/>
  <c r="I52" i="3"/>
  <c r="J52" i="3"/>
  <c r="K52" i="3"/>
  <c r="L52" i="3"/>
  <c r="C53" i="3"/>
  <c r="D53" i="3"/>
  <c r="E53" i="3"/>
  <c r="F53" i="3"/>
  <c r="G53" i="3"/>
  <c r="H53" i="3"/>
  <c r="I53" i="3"/>
  <c r="J53" i="3"/>
  <c r="K53" i="3"/>
  <c r="L53" i="3"/>
  <c r="C54" i="3"/>
  <c r="D54" i="3"/>
  <c r="E54" i="3"/>
  <c r="F54" i="3"/>
  <c r="G54" i="3"/>
  <c r="H54" i="3"/>
  <c r="I54" i="3"/>
  <c r="J54" i="3"/>
  <c r="K54" i="3"/>
  <c r="L54" i="3"/>
  <c r="C55" i="3"/>
  <c r="D55" i="3"/>
  <c r="E55" i="3"/>
  <c r="F55" i="3"/>
  <c r="G55" i="3"/>
  <c r="H55" i="3"/>
  <c r="I55" i="3"/>
  <c r="J55" i="3"/>
  <c r="K55" i="3"/>
  <c r="L55" i="3"/>
  <c r="C56" i="3"/>
  <c r="D56" i="3"/>
  <c r="E56" i="3"/>
  <c r="F56" i="3"/>
  <c r="G56" i="3"/>
  <c r="H56" i="3"/>
  <c r="I56" i="3"/>
  <c r="J56" i="3"/>
  <c r="K56" i="3"/>
  <c r="L56" i="3"/>
  <c r="C57" i="3"/>
  <c r="D57" i="3"/>
  <c r="E57" i="3"/>
  <c r="F57" i="3"/>
  <c r="G57" i="3"/>
  <c r="H57" i="3"/>
  <c r="I57" i="3"/>
  <c r="J57" i="3"/>
  <c r="K57" i="3"/>
  <c r="L57" i="3"/>
  <c r="C58" i="3"/>
  <c r="D58" i="3"/>
  <c r="E58" i="3"/>
  <c r="F58" i="3"/>
  <c r="G58" i="3"/>
  <c r="H58" i="3"/>
  <c r="I58" i="3"/>
  <c r="J58" i="3"/>
  <c r="K58" i="3"/>
  <c r="L58" i="3"/>
  <c r="C59" i="3"/>
  <c r="D59" i="3"/>
  <c r="F59" i="3"/>
  <c r="G59" i="3"/>
  <c r="H59" i="3"/>
  <c r="I59" i="3"/>
  <c r="J59" i="3"/>
  <c r="K59" i="3"/>
  <c r="L59" i="3"/>
  <c r="C60" i="3"/>
  <c r="D60" i="3"/>
  <c r="E60" i="3"/>
  <c r="F60" i="3"/>
  <c r="G60" i="3"/>
  <c r="H60" i="3"/>
  <c r="I60" i="3"/>
  <c r="J60" i="3"/>
  <c r="K60" i="3"/>
  <c r="L60" i="3"/>
  <c r="C61" i="3"/>
  <c r="D61" i="3"/>
  <c r="F61" i="3"/>
  <c r="G61" i="3"/>
  <c r="H61" i="3"/>
  <c r="I61" i="3"/>
  <c r="J61" i="3"/>
  <c r="K61" i="3"/>
  <c r="L61" i="3"/>
  <c r="C62" i="3"/>
  <c r="D62" i="3"/>
  <c r="E62" i="3"/>
  <c r="F62" i="3"/>
  <c r="G62" i="3"/>
  <c r="H62" i="3"/>
  <c r="I62" i="3"/>
  <c r="J62" i="3"/>
  <c r="K62" i="3"/>
  <c r="L62" i="3"/>
  <c r="C63" i="3"/>
  <c r="D63" i="3"/>
  <c r="E63" i="3"/>
  <c r="F63" i="3"/>
  <c r="G63" i="3"/>
  <c r="H63" i="3"/>
  <c r="I63" i="3"/>
  <c r="J63" i="3"/>
  <c r="K63" i="3"/>
  <c r="L63" i="3"/>
  <c r="C64" i="3"/>
  <c r="D64" i="3"/>
  <c r="E64" i="3"/>
  <c r="F64" i="3"/>
  <c r="G64" i="3"/>
  <c r="H64" i="3"/>
  <c r="I64" i="3"/>
  <c r="J64" i="3"/>
  <c r="K64" i="3"/>
  <c r="L64" i="3"/>
  <c r="C65" i="3"/>
  <c r="D65" i="3"/>
  <c r="E65" i="3"/>
  <c r="F65" i="3"/>
  <c r="G65" i="3"/>
  <c r="H65" i="3"/>
  <c r="I65" i="3"/>
  <c r="J65" i="3"/>
  <c r="K65" i="3"/>
  <c r="L65" i="3"/>
  <c r="C66" i="3"/>
  <c r="D66" i="3"/>
  <c r="E66" i="3"/>
  <c r="F66" i="3"/>
  <c r="G66" i="3"/>
  <c r="H66" i="3"/>
  <c r="I66" i="3"/>
  <c r="J66" i="3"/>
  <c r="K66" i="3"/>
  <c r="L66" i="3"/>
  <c r="C67" i="3"/>
  <c r="D67" i="3"/>
  <c r="E67" i="3"/>
  <c r="F67" i="3"/>
  <c r="G67" i="3"/>
  <c r="H67" i="3"/>
  <c r="I67" i="3"/>
  <c r="J67" i="3"/>
  <c r="K67" i="3"/>
  <c r="L67" i="3"/>
  <c r="C68" i="3"/>
  <c r="D68" i="3"/>
  <c r="E68" i="3"/>
  <c r="F68" i="3"/>
  <c r="G68" i="3"/>
  <c r="H68" i="3"/>
  <c r="I68" i="3"/>
  <c r="J68" i="3"/>
  <c r="K68" i="3"/>
  <c r="L68" i="3"/>
  <c r="C69" i="3"/>
  <c r="D69" i="3"/>
  <c r="E69" i="3"/>
  <c r="F69" i="3"/>
  <c r="G69" i="3"/>
  <c r="H69" i="3"/>
  <c r="I69" i="3"/>
  <c r="J69" i="3"/>
  <c r="K69" i="3"/>
  <c r="L69" i="3"/>
  <c r="C70" i="3"/>
  <c r="D70" i="3"/>
  <c r="E70" i="3"/>
  <c r="F70" i="3"/>
  <c r="G70" i="3"/>
  <c r="H70" i="3"/>
  <c r="I70" i="3"/>
  <c r="J70" i="3"/>
  <c r="K70" i="3"/>
  <c r="L70" i="3"/>
  <c r="C71" i="3"/>
  <c r="D71" i="3"/>
  <c r="E71" i="3"/>
  <c r="F71" i="3"/>
  <c r="G71" i="3"/>
  <c r="H71" i="3"/>
  <c r="I71" i="3"/>
  <c r="J71" i="3"/>
  <c r="K71" i="3"/>
  <c r="L71" i="3"/>
  <c r="C72" i="3"/>
  <c r="D72" i="3"/>
  <c r="E72" i="3"/>
  <c r="F72" i="3"/>
  <c r="G72" i="3"/>
  <c r="H72" i="3"/>
  <c r="I72" i="3"/>
  <c r="J72" i="3"/>
  <c r="K72" i="3"/>
  <c r="L72" i="3"/>
  <c r="C73" i="3"/>
  <c r="D73" i="3"/>
  <c r="E73" i="3"/>
  <c r="F73" i="3"/>
  <c r="G73" i="3"/>
  <c r="H73" i="3"/>
  <c r="I73" i="3"/>
  <c r="J73" i="3"/>
  <c r="K73" i="3"/>
  <c r="L73" i="3"/>
  <c r="C74" i="3"/>
  <c r="D74" i="3"/>
  <c r="E74" i="3"/>
  <c r="F74" i="3"/>
  <c r="G74" i="3"/>
  <c r="H74" i="3"/>
  <c r="I74" i="3"/>
  <c r="J74" i="3"/>
  <c r="K74" i="3"/>
  <c r="L74" i="3"/>
  <c r="C75" i="3"/>
  <c r="D75" i="3"/>
  <c r="E75" i="3"/>
  <c r="F75" i="3"/>
  <c r="G75" i="3"/>
  <c r="H75" i="3"/>
  <c r="I75" i="3"/>
  <c r="J75" i="3"/>
  <c r="K75" i="3"/>
  <c r="L75" i="3"/>
  <c r="C76" i="3"/>
  <c r="D76" i="3"/>
  <c r="E76" i="3"/>
  <c r="F76" i="3"/>
  <c r="G76" i="3"/>
  <c r="H76" i="3"/>
  <c r="I76" i="3"/>
  <c r="J76" i="3"/>
  <c r="K76" i="3"/>
  <c r="L76" i="3"/>
  <c r="C77" i="3"/>
  <c r="D77" i="3"/>
  <c r="E77" i="3"/>
  <c r="F77" i="3"/>
  <c r="G77" i="3"/>
  <c r="H77" i="3"/>
  <c r="I77" i="3"/>
  <c r="J77" i="3"/>
  <c r="K77" i="3"/>
  <c r="L77" i="3"/>
  <c r="C78" i="3"/>
  <c r="D78" i="3"/>
  <c r="E78" i="3"/>
  <c r="F78" i="3"/>
  <c r="G78" i="3"/>
  <c r="H78" i="3"/>
  <c r="I78" i="3"/>
  <c r="J78" i="3"/>
  <c r="K78" i="3"/>
  <c r="L78" i="3"/>
  <c r="C79" i="3"/>
  <c r="D79" i="3"/>
  <c r="E79" i="3"/>
  <c r="F79" i="3"/>
  <c r="G79" i="3"/>
  <c r="H79" i="3"/>
  <c r="I79" i="3"/>
  <c r="J79" i="3"/>
  <c r="K79" i="3"/>
  <c r="L79" i="3"/>
  <c r="C80" i="3"/>
  <c r="D80" i="3"/>
  <c r="E80" i="3"/>
  <c r="F80" i="3"/>
  <c r="G80" i="3"/>
  <c r="H80" i="3"/>
  <c r="I80" i="3"/>
  <c r="J80" i="3"/>
  <c r="K80" i="3"/>
  <c r="L80" i="3"/>
  <c r="C81" i="3"/>
  <c r="D81" i="3"/>
  <c r="E81" i="3"/>
  <c r="F81" i="3"/>
  <c r="G81" i="3"/>
  <c r="H81" i="3"/>
  <c r="I81" i="3"/>
  <c r="J81" i="3"/>
  <c r="K81" i="3"/>
  <c r="L81" i="3"/>
  <c r="C82" i="3"/>
  <c r="D82" i="3"/>
  <c r="E82" i="3"/>
  <c r="F82" i="3"/>
  <c r="G82" i="3"/>
  <c r="H82" i="3"/>
  <c r="I82" i="3"/>
  <c r="J82" i="3"/>
  <c r="K82" i="3"/>
  <c r="L82" i="3"/>
  <c r="C83" i="3"/>
  <c r="D83" i="3"/>
  <c r="E83" i="3"/>
  <c r="F83" i="3"/>
  <c r="G83" i="3"/>
  <c r="H83" i="3"/>
  <c r="I83" i="3"/>
  <c r="J83" i="3"/>
  <c r="K83" i="3"/>
  <c r="L83" i="3"/>
  <c r="C84" i="3"/>
  <c r="D84" i="3"/>
  <c r="E84" i="3"/>
  <c r="F84" i="3"/>
  <c r="G84" i="3"/>
  <c r="H84" i="3"/>
  <c r="I84" i="3"/>
  <c r="J84" i="3"/>
  <c r="K84" i="3"/>
  <c r="L84" i="3"/>
  <c r="C85" i="3"/>
  <c r="D85" i="3"/>
  <c r="E85" i="3"/>
  <c r="F85" i="3"/>
  <c r="G85" i="3"/>
  <c r="H85" i="3"/>
  <c r="I85" i="3"/>
  <c r="J85" i="3"/>
  <c r="K85" i="3"/>
  <c r="L85" i="3"/>
  <c r="C86" i="3"/>
  <c r="D86" i="3"/>
  <c r="E86" i="3"/>
  <c r="F86" i="3"/>
  <c r="G86" i="3"/>
  <c r="H86" i="3"/>
  <c r="I86" i="3"/>
  <c r="J86" i="3"/>
  <c r="K86" i="3"/>
  <c r="L86" i="3"/>
  <c r="C87" i="3"/>
  <c r="D87" i="3"/>
  <c r="E87" i="3"/>
  <c r="F87" i="3"/>
  <c r="G87" i="3"/>
  <c r="H87" i="3"/>
  <c r="I87" i="3"/>
  <c r="J87" i="3"/>
  <c r="K87" i="3"/>
  <c r="L87" i="3"/>
  <c r="C88" i="3"/>
  <c r="D88" i="3"/>
  <c r="E88" i="3"/>
  <c r="F88" i="3"/>
  <c r="G88" i="3"/>
  <c r="H88" i="3"/>
  <c r="I88" i="3"/>
  <c r="J88" i="3"/>
  <c r="K88" i="3"/>
  <c r="L88" i="3"/>
  <c r="C89" i="3"/>
  <c r="D89" i="3"/>
  <c r="E89" i="3"/>
  <c r="F89" i="3"/>
  <c r="G89" i="3"/>
  <c r="H89" i="3"/>
  <c r="I89" i="3"/>
  <c r="J89" i="3"/>
  <c r="K89" i="3"/>
  <c r="L89" i="3"/>
  <c r="C90" i="3"/>
  <c r="D90" i="3"/>
  <c r="E90" i="3"/>
  <c r="F90" i="3"/>
  <c r="G90" i="3"/>
  <c r="H90" i="3"/>
  <c r="I90" i="3"/>
  <c r="J90" i="3"/>
  <c r="K90" i="3"/>
  <c r="L90" i="3"/>
  <c r="C91" i="3"/>
  <c r="D91" i="3"/>
  <c r="E91" i="3"/>
  <c r="F91" i="3"/>
  <c r="G91" i="3"/>
  <c r="H91" i="3"/>
  <c r="I91" i="3"/>
  <c r="J91" i="3"/>
  <c r="K91" i="3"/>
  <c r="L91" i="3"/>
  <c r="C92" i="3"/>
  <c r="D92" i="3"/>
  <c r="E92" i="3"/>
  <c r="F92" i="3"/>
  <c r="G92" i="3"/>
  <c r="H92" i="3"/>
  <c r="I92" i="3"/>
  <c r="J92" i="3"/>
  <c r="K92" i="3"/>
  <c r="L92" i="3"/>
  <c r="C93" i="3"/>
  <c r="D93" i="3"/>
  <c r="E93" i="3"/>
  <c r="F93" i="3"/>
  <c r="G93" i="3"/>
  <c r="H93" i="3"/>
  <c r="I93" i="3"/>
  <c r="J93" i="3"/>
  <c r="K93" i="3"/>
  <c r="L93" i="3"/>
  <c r="C94" i="3"/>
  <c r="D94" i="3"/>
  <c r="E94" i="3"/>
  <c r="F94" i="3"/>
  <c r="G94" i="3"/>
  <c r="H94" i="3"/>
  <c r="I94" i="3"/>
  <c r="J94" i="3"/>
  <c r="K94" i="3"/>
  <c r="L94" i="3"/>
  <c r="C95" i="3"/>
  <c r="D95" i="3"/>
  <c r="E95" i="3"/>
  <c r="F95" i="3"/>
  <c r="G95" i="3"/>
  <c r="H95" i="3"/>
  <c r="I95" i="3"/>
  <c r="J95" i="3"/>
  <c r="K95" i="3"/>
  <c r="L95" i="3"/>
  <c r="C96" i="3"/>
  <c r="D96" i="3"/>
  <c r="E96" i="3"/>
  <c r="F96" i="3"/>
  <c r="G96" i="3"/>
  <c r="H96" i="3"/>
  <c r="I96" i="3"/>
  <c r="J96" i="3"/>
  <c r="K96" i="3"/>
  <c r="L96" i="3"/>
  <c r="C97" i="3"/>
  <c r="D97" i="3"/>
  <c r="E97" i="3"/>
  <c r="F97" i="3"/>
  <c r="G97" i="3"/>
  <c r="H97" i="3"/>
  <c r="I97" i="3"/>
  <c r="J97" i="3"/>
  <c r="K97" i="3"/>
  <c r="L97" i="3"/>
  <c r="C98" i="3"/>
  <c r="D98" i="3"/>
  <c r="E98" i="3"/>
  <c r="F98" i="3"/>
  <c r="G98" i="3"/>
  <c r="H98" i="3"/>
  <c r="I98" i="3"/>
  <c r="J98" i="3"/>
  <c r="K98" i="3"/>
  <c r="L98" i="3"/>
  <c r="C99" i="3"/>
  <c r="D99" i="3"/>
  <c r="E99" i="3"/>
  <c r="F99" i="3"/>
  <c r="G99" i="3"/>
  <c r="H99" i="3"/>
  <c r="I99" i="3"/>
  <c r="J99" i="3"/>
  <c r="K99" i="3"/>
  <c r="L99" i="3"/>
  <c r="C100" i="3"/>
  <c r="D100" i="3"/>
  <c r="E100" i="3"/>
  <c r="F100" i="3"/>
  <c r="G100" i="3"/>
  <c r="H100" i="3"/>
  <c r="I100" i="3"/>
  <c r="J100" i="3"/>
  <c r="K100" i="3"/>
  <c r="L100" i="3"/>
  <c r="C101" i="3"/>
  <c r="D101" i="3"/>
  <c r="E101" i="3"/>
  <c r="F101" i="3"/>
  <c r="G101" i="3"/>
  <c r="H101" i="3"/>
  <c r="I101" i="3"/>
  <c r="J101" i="3"/>
  <c r="K101" i="3"/>
  <c r="L101" i="3"/>
  <c r="C102" i="3"/>
  <c r="D102" i="3"/>
  <c r="E102" i="3"/>
  <c r="F102" i="3"/>
  <c r="G102" i="3"/>
  <c r="H102" i="3"/>
  <c r="I102" i="3"/>
  <c r="J102" i="3"/>
  <c r="K102" i="3"/>
  <c r="L102" i="3"/>
  <c r="C103" i="3"/>
  <c r="D103" i="3"/>
  <c r="E103" i="3"/>
  <c r="F103" i="3"/>
  <c r="G103" i="3"/>
  <c r="H103" i="3"/>
  <c r="I103" i="3"/>
  <c r="J103" i="3"/>
  <c r="K103" i="3"/>
  <c r="L103" i="3"/>
  <c r="C104" i="3"/>
  <c r="D104" i="3"/>
  <c r="E104" i="3"/>
  <c r="F104" i="3"/>
  <c r="G104" i="3"/>
  <c r="H104" i="3"/>
  <c r="I104" i="3"/>
  <c r="J104" i="3"/>
  <c r="K104" i="3"/>
  <c r="L104" i="3"/>
  <c r="C105" i="3"/>
  <c r="D105" i="3"/>
  <c r="E105" i="3"/>
  <c r="F105" i="3"/>
  <c r="G105" i="3"/>
  <c r="H105" i="3"/>
  <c r="I105" i="3"/>
  <c r="J105" i="3"/>
  <c r="K105" i="3"/>
  <c r="L105" i="3"/>
  <c r="C106" i="3"/>
  <c r="D106" i="3"/>
  <c r="E106" i="3"/>
  <c r="F106" i="3"/>
  <c r="G106" i="3"/>
  <c r="H106" i="3"/>
  <c r="I106" i="3"/>
  <c r="J106" i="3"/>
  <c r="K106" i="3"/>
  <c r="L106" i="3"/>
  <c r="C107" i="3"/>
  <c r="D107" i="3"/>
  <c r="E107" i="3"/>
  <c r="F107" i="3"/>
  <c r="G107" i="3"/>
  <c r="H107" i="3"/>
  <c r="I107" i="3"/>
  <c r="J107" i="3"/>
  <c r="K107" i="3"/>
  <c r="L107" i="3"/>
  <c r="C108" i="3"/>
  <c r="D108" i="3"/>
  <c r="E108" i="3"/>
  <c r="F108" i="3"/>
  <c r="G108" i="3"/>
  <c r="H108" i="3"/>
  <c r="I108" i="3"/>
  <c r="J108" i="3"/>
  <c r="K108" i="3"/>
  <c r="L108" i="3"/>
  <c r="C109" i="3"/>
  <c r="D109" i="3"/>
  <c r="E109" i="3"/>
  <c r="F109" i="3"/>
  <c r="G109" i="3"/>
  <c r="H109" i="3"/>
  <c r="I109" i="3"/>
  <c r="J109" i="3"/>
  <c r="K109" i="3"/>
  <c r="L109" i="3"/>
  <c r="C110" i="3"/>
  <c r="D110" i="3"/>
  <c r="E110" i="3"/>
  <c r="F110" i="3"/>
  <c r="G110" i="3"/>
  <c r="H110" i="3"/>
  <c r="I110" i="3"/>
  <c r="J110" i="3"/>
  <c r="K110" i="3"/>
  <c r="L110" i="3"/>
  <c r="C111" i="3"/>
  <c r="D111" i="3"/>
  <c r="E111" i="3"/>
  <c r="F111" i="3"/>
  <c r="G111" i="3"/>
  <c r="H111" i="3"/>
  <c r="I111" i="3"/>
  <c r="J111" i="3"/>
  <c r="K111" i="3"/>
  <c r="L111" i="3"/>
  <c r="C112" i="3"/>
  <c r="D112" i="3"/>
  <c r="E112" i="3"/>
  <c r="F112" i="3"/>
  <c r="G112" i="3"/>
  <c r="H112" i="3"/>
  <c r="I112" i="3"/>
  <c r="J112" i="3"/>
  <c r="K112" i="3"/>
  <c r="L112" i="3"/>
  <c r="C113" i="3"/>
  <c r="D113" i="3"/>
  <c r="E113" i="3"/>
  <c r="F113" i="3"/>
  <c r="G113" i="3"/>
  <c r="H113" i="3"/>
  <c r="I113" i="3"/>
  <c r="J113" i="3"/>
  <c r="K113" i="3"/>
  <c r="L113" i="3"/>
  <c r="C114" i="3"/>
  <c r="D114" i="3"/>
  <c r="E114" i="3"/>
  <c r="F114" i="3"/>
  <c r="G114" i="3"/>
  <c r="H114" i="3"/>
  <c r="I114" i="3"/>
  <c r="J114" i="3"/>
  <c r="K114" i="3"/>
  <c r="L114" i="3"/>
  <c r="C115" i="3"/>
  <c r="D115" i="3"/>
  <c r="E115" i="3"/>
  <c r="F115" i="3"/>
  <c r="G115" i="3"/>
  <c r="H115" i="3"/>
  <c r="I115" i="3"/>
  <c r="J115" i="3"/>
  <c r="K115" i="3"/>
  <c r="L115" i="3"/>
  <c r="C116" i="3"/>
  <c r="D116" i="3"/>
  <c r="E116" i="3"/>
  <c r="F116" i="3"/>
  <c r="G116" i="3"/>
  <c r="H116" i="3"/>
  <c r="I116" i="3"/>
  <c r="J116" i="3"/>
  <c r="K116" i="3"/>
  <c r="L116" i="3"/>
  <c r="C117" i="3"/>
  <c r="D117" i="3"/>
  <c r="E117" i="3"/>
  <c r="F117" i="3"/>
  <c r="G117" i="3"/>
  <c r="H117" i="3"/>
  <c r="I117" i="3"/>
  <c r="J117" i="3"/>
  <c r="K117" i="3"/>
  <c r="L117" i="3"/>
  <c r="C118" i="3"/>
  <c r="D118" i="3"/>
  <c r="E118" i="3"/>
  <c r="F118" i="3"/>
  <c r="G118" i="3"/>
  <c r="H118" i="3"/>
  <c r="I118" i="3"/>
  <c r="J118" i="3"/>
  <c r="K118" i="3"/>
  <c r="L118" i="3"/>
  <c r="C119" i="3"/>
  <c r="D119" i="3"/>
  <c r="E119" i="3"/>
  <c r="F119" i="3"/>
  <c r="G119" i="3"/>
  <c r="H119" i="3"/>
  <c r="I119" i="3"/>
  <c r="J119" i="3"/>
  <c r="K119" i="3"/>
  <c r="L119" i="3"/>
  <c r="C120" i="3"/>
  <c r="D120" i="3"/>
  <c r="E120" i="3"/>
  <c r="F120" i="3"/>
  <c r="G120" i="3"/>
  <c r="H120" i="3"/>
  <c r="I120" i="3"/>
  <c r="J120" i="3"/>
  <c r="K120" i="3"/>
  <c r="L120" i="3"/>
  <c r="C121" i="3"/>
  <c r="D121" i="3"/>
  <c r="E121" i="3"/>
  <c r="F121" i="3"/>
  <c r="G121" i="3"/>
  <c r="H121" i="3"/>
  <c r="I121" i="3"/>
  <c r="J121" i="3"/>
  <c r="K121" i="3"/>
  <c r="L121" i="3"/>
  <c r="C122" i="3"/>
  <c r="D122" i="3"/>
  <c r="E122" i="3"/>
  <c r="F122" i="3"/>
  <c r="G122" i="3"/>
  <c r="H122" i="3"/>
  <c r="I122" i="3"/>
  <c r="J122" i="3"/>
  <c r="K122" i="3"/>
  <c r="L122" i="3"/>
  <c r="C123" i="3"/>
  <c r="D123" i="3"/>
  <c r="E123" i="3"/>
  <c r="F123" i="3"/>
  <c r="G123" i="3"/>
  <c r="H123" i="3"/>
  <c r="I123" i="3"/>
  <c r="J123" i="3"/>
  <c r="K123" i="3"/>
  <c r="L123" i="3"/>
  <c r="C124" i="3"/>
  <c r="D124" i="3"/>
  <c r="E124" i="3"/>
  <c r="F124" i="3"/>
  <c r="G124" i="3"/>
  <c r="H124" i="3"/>
  <c r="I124" i="3"/>
  <c r="J124" i="3"/>
  <c r="K124" i="3"/>
  <c r="L124" i="3"/>
  <c r="C125" i="3"/>
  <c r="D125" i="3"/>
  <c r="E125" i="3"/>
  <c r="F125" i="3"/>
  <c r="G125" i="3"/>
  <c r="H125" i="3"/>
  <c r="I125" i="3"/>
  <c r="J125" i="3"/>
  <c r="K125" i="3"/>
  <c r="L125" i="3"/>
  <c r="C126" i="3"/>
  <c r="D126" i="3"/>
  <c r="E126" i="3"/>
  <c r="F126" i="3"/>
  <c r="G126" i="3"/>
  <c r="H126" i="3"/>
  <c r="I126" i="3"/>
  <c r="J126" i="3"/>
  <c r="K126" i="3"/>
  <c r="L126" i="3"/>
  <c r="C127" i="3"/>
  <c r="D127" i="3"/>
  <c r="E127" i="3"/>
  <c r="F127" i="3"/>
  <c r="G127" i="3"/>
  <c r="H127" i="3"/>
  <c r="I127" i="3"/>
  <c r="J127" i="3"/>
  <c r="K127" i="3"/>
  <c r="L127" i="3"/>
  <c r="C128" i="3"/>
  <c r="D128" i="3"/>
  <c r="E128" i="3"/>
  <c r="F128" i="3"/>
  <c r="G128" i="3"/>
  <c r="H128" i="3"/>
  <c r="I128" i="3"/>
  <c r="J128" i="3"/>
  <c r="K128" i="3"/>
  <c r="L128" i="3"/>
  <c r="C129" i="3"/>
  <c r="D129" i="3"/>
  <c r="E129" i="3"/>
  <c r="F129" i="3"/>
  <c r="G129" i="3"/>
  <c r="H129" i="3"/>
  <c r="I129" i="3"/>
  <c r="J129" i="3"/>
  <c r="K129" i="3"/>
  <c r="L129" i="3"/>
  <c r="C130" i="3"/>
  <c r="D130" i="3"/>
  <c r="E130" i="3"/>
  <c r="F130" i="3"/>
  <c r="G130" i="3"/>
  <c r="H130" i="3"/>
  <c r="I130" i="3"/>
  <c r="J130" i="3"/>
  <c r="K130" i="3"/>
  <c r="L130" i="3"/>
  <c r="C131" i="3"/>
  <c r="D131" i="3"/>
  <c r="E131" i="3"/>
  <c r="F131" i="3"/>
  <c r="G131" i="3"/>
  <c r="H131" i="3"/>
  <c r="I131" i="3"/>
  <c r="J131" i="3"/>
  <c r="K131" i="3"/>
  <c r="L131" i="3"/>
  <c r="C132" i="3"/>
  <c r="D132" i="3"/>
  <c r="E132" i="3"/>
  <c r="F132" i="3"/>
  <c r="G132" i="3"/>
  <c r="H132" i="3"/>
  <c r="I132" i="3"/>
  <c r="J132" i="3"/>
  <c r="K132" i="3"/>
  <c r="L132" i="3"/>
  <c r="C133" i="3"/>
  <c r="D133" i="3"/>
  <c r="E133" i="3"/>
  <c r="F133" i="3"/>
  <c r="G133" i="3"/>
  <c r="H133" i="3"/>
  <c r="I133" i="3"/>
  <c r="J133" i="3"/>
  <c r="K133" i="3"/>
  <c r="L133" i="3"/>
  <c r="C134" i="3"/>
  <c r="D134" i="3"/>
  <c r="E134" i="3"/>
  <c r="F134" i="3"/>
  <c r="G134" i="3"/>
  <c r="H134" i="3"/>
  <c r="I134" i="3"/>
  <c r="J134" i="3"/>
  <c r="K134" i="3"/>
  <c r="L134" i="3"/>
  <c r="C135" i="3"/>
  <c r="D135" i="3"/>
  <c r="E135" i="3"/>
  <c r="F135" i="3"/>
  <c r="G135" i="3"/>
  <c r="H135" i="3"/>
  <c r="I135" i="3"/>
  <c r="J135" i="3"/>
  <c r="K135" i="3"/>
  <c r="L135" i="3"/>
  <c r="C136" i="3"/>
  <c r="D136" i="3"/>
  <c r="E136" i="3"/>
  <c r="F136" i="3"/>
  <c r="G136" i="3"/>
  <c r="H136" i="3"/>
  <c r="I136" i="3"/>
  <c r="J136" i="3"/>
  <c r="K136" i="3"/>
  <c r="L136" i="3"/>
  <c r="C137" i="3"/>
  <c r="D137" i="3"/>
  <c r="E137" i="3"/>
  <c r="F137" i="3"/>
  <c r="G137" i="3"/>
  <c r="H137" i="3"/>
  <c r="I137" i="3"/>
  <c r="J137" i="3"/>
  <c r="K137" i="3"/>
  <c r="L137" i="3"/>
  <c r="C138" i="3"/>
  <c r="D138" i="3"/>
  <c r="E138" i="3"/>
  <c r="F138" i="3"/>
  <c r="G138" i="3"/>
  <c r="H138" i="3"/>
  <c r="I138" i="3"/>
  <c r="J138" i="3"/>
  <c r="K138" i="3"/>
  <c r="L138" i="3"/>
  <c r="C139" i="3"/>
  <c r="D139" i="3"/>
  <c r="E139" i="3"/>
  <c r="F139" i="3"/>
  <c r="G139" i="3"/>
  <c r="H139" i="3"/>
  <c r="I139" i="3"/>
  <c r="J139" i="3"/>
  <c r="K139" i="3"/>
  <c r="L139" i="3"/>
  <c r="C140" i="3"/>
  <c r="D140" i="3"/>
  <c r="E140" i="3"/>
  <c r="F140" i="3"/>
  <c r="G140" i="3"/>
  <c r="H140" i="3"/>
  <c r="I140" i="3"/>
  <c r="J140" i="3"/>
  <c r="K140" i="3"/>
  <c r="L140" i="3"/>
  <c r="C141" i="3"/>
  <c r="D141" i="3"/>
  <c r="E141" i="3"/>
  <c r="F141" i="3"/>
  <c r="G141" i="3"/>
  <c r="H141" i="3"/>
  <c r="I141" i="3"/>
  <c r="J141" i="3"/>
  <c r="K141" i="3"/>
  <c r="L141" i="3"/>
  <c r="C142" i="3"/>
  <c r="D142" i="3"/>
  <c r="E142" i="3"/>
  <c r="F142" i="3"/>
  <c r="G142" i="3"/>
  <c r="H142" i="3"/>
  <c r="I142" i="3"/>
  <c r="J142" i="3"/>
  <c r="K142" i="3"/>
  <c r="L142" i="3"/>
  <c r="C143" i="3"/>
  <c r="D143" i="3"/>
  <c r="E143" i="3"/>
  <c r="F143" i="3"/>
  <c r="G143" i="3"/>
  <c r="H143" i="3"/>
  <c r="I143" i="3"/>
  <c r="J143" i="3"/>
  <c r="K143" i="3"/>
  <c r="L143" i="3"/>
  <c r="C144" i="3"/>
  <c r="D144" i="3"/>
  <c r="E144" i="3"/>
  <c r="F144" i="3"/>
  <c r="G144" i="3"/>
  <c r="H144" i="3"/>
  <c r="I144" i="3"/>
  <c r="J144" i="3"/>
  <c r="K144" i="3"/>
  <c r="L144" i="3"/>
  <c r="C145" i="3"/>
  <c r="D145" i="3"/>
  <c r="E145" i="3"/>
  <c r="F145" i="3"/>
  <c r="G145" i="3"/>
  <c r="H145" i="3"/>
  <c r="I145" i="3"/>
  <c r="J145" i="3"/>
  <c r="K145" i="3"/>
  <c r="L145" i="3"/>
  <c r="C146" i="3"/>
  <c r="D146" i="3"/>
  <c r="E146" i="3"/>
  <c r="F146" i="3"/>
  <c r="G146" i="3"/>
  <c r="H146" i="3"/>
  <c r="I146" i="3"/>
  <c r="J146" i="3"/>
  <c r="K146" i="3"/>
  <c r="L146" i="3"/>
  <c r="C147" i="3"/>
  <c r="D147" i="3"/>
  <c r="E147" i="3"/>
  <c r="F147" i="3"/>
  <c r="G147" i="3"/>
  <c r="H147" i="3"/>
  <c r="I147" i="3"/>
  <c r="J147" i="3"/>
  <c r="K147" i="3"/>
  <c r="L147" i="3"/>
  <c r="C148" i="3"/>
  <c r="D148" i="3"/>
  <c r="E148" i="3"/>
  <c r="F148" i="3"/>
  <c r="G148" i="3"/>
  <c r="H148" i="3"/>
  <c r="I148" i="3"/>
  <c r="J148" i="3"/>
  <c r="K148" i="3"/>
  <c r="L148" i="3"/>
  <c r="C149" i="3"/>
  <c r="D149" i="3"/>
  <c r="E149" i="3"/>
  <c r="F149" i="3"/>
  <c r="G149" i="3"/>
  <c r="H149" i="3"/>
  <c r="I149" i="3"/>
  <c r="J149" i="3"/>
  <c r="K149" i="3"/>
  <c r="L149" i="3"/>
  <c r="C150" i="3"/>
  <c r="D150" i="3"/>
  <c r="E150" i="3"/>
  <c r="F150" i="3"/>
  <c r="G150" i="3"/>
  <c r="H150" i="3"/>
  <c r="I150" i="3"/>
  <c r="J150" i="3"/>
  <c r="K150" i="3"/>
  <c r="L150" i="3"/>
  <c r="C151" i="3"/>
  <c r="D151" i="3"/>
  <c r="E151" i="3"/>
  <c r="F151" i="3"/>
  <c r="G151" i="3"/>
  <c r="H151" i="3"/>
  <c r="I151" i="3"/>
  <c r="J151" i="3"/>
  <c r="K151" i="3"/>
  <c r="L151" i="3"/>
  <c r="C152" i="3"/>
  <c r="D152" i="3"/>
  <c r="E152" i="3"/>
  <c r="F152" i="3"/>
  <c r="G152" i="3"/>
  <c r="H152" i="3"/>
  <c r="I152" i="3"/>
  <c r="J152" i="3"/>
  <c r="K152" i="3"/>
  <c r="L152" i="3"/>
  <c r="C153" i="3"/>
  <c r="D153" i="3"/>
  <c r="E153" i="3"/>
  <c r="F153" i="3"/>
  <c r="G153" i="3"/>
  <c r="H153" i="3"/>
  <c r="I153" i="3"/>
  <c r="J153" i="3"/>
  <c r="K153" i="3"/>
  <c r="L153" i="3"/>
  <c r="C154" i="3"/>
  <c r="D154" i="3"/>
  <c r="E154" i="3"/>
  <c r="F154" i="3"/>
  <c r="G154" i="3"/>
  <c r="H154" i="3"/>
  <c r="I154" i="3"/>
  <c r="J154" i="3"/>
  <c r="K154" i="3"/>
  <c r="L154" i="3"/>
  <c r="C155" i="3"/>
  <c r="D155" i="3"/>
  <c r="E155" i="3"/>
  <c r="F155" i="3"/>
  <c r="G155" i="3"/>
  <c r="H155" i="3"/>
  <c r="I155" i="3"/>
  <c r="J155" i="3"/>
  <c r="K155" i="3"/>
  <c r="L155" i="3"/>
  <c r="C156" i="3"/>
  <c r="D156" i="3"/>
  <c r="E156" i="3"/>
  <c r="F156" i="3"/>
  <c r="G156" i="3"/>
  <c r="H156" i="3"/>
  <c r="I156" i="3"/>
  <c r="J156" i="3"/>
  <c r="K156" i="3"/>
  <c r="L156" i="3"/>
  <c r="C157" i="3"/>
  <c r="D157" i="3"/>
  <c r="E157" i="3"/>
  <c r="F157" i="3"/>
  <c r="G157" i="3"/>
  <c r="H157" i="3"/>
  <c r="I157" i="3"/>
  <c r="J157" i="3"/>
  <c r="K157" i="3"/>
  <c r="L157" i="3"/>
  <c r="C158" i="3"/>
  <c r="D158" i="3"/>
  <c r="E158" i="3"/>
  <c r="F158" i="3"/>
  <c r="G158" i="3"/>
  <c r="H158" i="3"/>
  <c r="I158" i="3"/>
  <c r="J158" i="3"/>
  <c r="K158" i="3"/>
  <c r="L158" i="3"/>
  <c r="C159" i="3"/>
  <c r="D159" i="3"/>
  <c r="E159" i="3"/>
  <c r="F159" i="3"/>
  <c r="G159" i="3"/>
  <c r="H159" i="3"/>
  <c r="I159" i="3"/>
  <c r="J159" i="3"/>
  <c r="K159" i="3"/>
  <c r="L159" i="3"/>
  <c r="C160" i="3"/>
  <c r="D160" i="3"/>
  <c r="E160" i="3"/>
  <c r="F160" i="3"/>
  <c r="G160" i="3"/>
  <c r="H160" i="3"/>
  <c r="I160" i="3"/>
  <c r="J160" i="3"/>
  <c r="K160" i="3"/>
  <c r="L160" i="3"/>
  <c r="C161" i="3"/>
  <c r="D161" i="3"/>
  <c r="E161" i="3"/>
  <c r="F161" i="3"/>
  <c r="G161" i="3"/>
  <c r="H161" i="3"/>
  <c r="I161" i="3"/>
  <c r="J161" i="3"/>
  <c r="K161" i="3"/>
  <c r="L161" i="3"/>
  <c r="C162" i="3"/>
  <c r="D162" i="3"/>
  <c r="E162" i="3"/>
  <c r="F162" i="3"/>
  <c r="G162" i="3"/>
  <c r="H162" i="3"/>
  <c r="I162" i="3"/>
  <c r="J162" i="3"/>
  <c r="K162" i="3"/>
  <c r="L162" i="3"/>
  <c r="C163" i="3"/>
  <c r="D163" i="3"/>
  <c r="E163" i="3"/>
  <c r="F163" i="3"/>
  <c r="G163" i="3"/>
  <c r="H163" i="3"/>
  <c r="I163" i="3"/>
  <c r="J163" i="3"/>
  <c r="K163" i="3"/>
  <c r="L163" i="3"/>
  <c r="C164" i="3"/>
  <c r="D164" i="3"/>
  <c r="E164" i="3"/>
  <c r="F164" i="3"/>
  <c r="G164" i="3"/>
  <c r="H164" i="3"/>
  <c r="I164" i="3"/>
  <c r="J164" i="3"/>
  <c r="K164" i="3"/>
  <c r="L164" i="3"/>
  <c r="C165" i="3"/>
  <c r="D165" i="3"/>
  <c r="E165" i="3"/>
  <c r="F165" i="3"/>
  <c r="G165" i="3"/>
  <c r="H165" i="3"/>
  <c r="I165" i="3"/>
  <c r="J165" i="3"/>
  <c r="K165" i="3"/>
  <c r="L165" i="3"/>
  <c r="C166" i="3"/>
  <c r="D166" i="3"/>
  <c r="E166" i="3"/>
  <c r="F166" i="3"/>
  <c r="G166" i="3"/>
  <c r="H166" i="3"/>
  <c r="I166" i="3"/>
  <c r="J166" i="3"/>
  <c r="K166" i="3"/>
  <c r="L166" i="3"/>
  <c r="C167" i="3"/>
  <c r="D167" i="3"/>
  <c r="E167" i="3"/>
  <c r="F167" i="3"/>
  <c r="G167" i="3"/>
  <c r="H167" i="3"/>
  <c r="I167" i="3"/>
  <c r="J167" i="3"/>
  <c r="K167" i="3"/>
  <c r="L167" i="3"/>
  <c r="C168" i="3"/>
  <c r="D168" i="3"/>
  <c r="E168" i="3"/>
  <c r="F168" i="3"/>
  <c r="G168" i="3"/>
  <c r="H168" i="3"/>
  <c r="I168" i="3"/>
  <c r="J168" i="3"/>
  <c r="K168" i="3"/>
  <c r="L168" i="3"/>
  <c r="C169" i="3"/>
  <c r="D169" i="3"/>
  <c r="E169" i="3"/>
  <c r="F169" i="3"/>
  <c r="G169" i="3"/>
  <c r="H169" i="3"/>
  <c r="I169" i="3"/>
  <c r="J169" i="3"/>
  <c r="K169" i="3"/>
  <c r="L169" i="3"/>
  <c r="C170" i="3"/>
  <c r="D170" i="3"/>
  <c r="E170" i="3"/>
  <c r="F170" i="3"/>
  <c r="G170" i="3"/>
  <c r="H170" i="3"/>
  <c r="I170" i="3"/>
  <c r="J170" i="3"/>
  <c r="K170" i="3"/>
  <c r="L170" i="3"/>
  <c r="C171" i="3"/>
  <c r="D171" i="3"/>
  <c r="E171" i="3"/>
  <c r="F171" i="3"/>
  <c r="G171" i="3"/>
  <c r="H171" i="3"/>
  <c r="I171" i="3"/>
  <c r="J171" i="3"/>
  <c r="K171" i="3"/>
  <c r="L171" i="3"/>
  <c r="C172" i="3"/>
  <c r="D172" i="3"/>
  <c r="E172" i="3"/>
  <c r="F172" i="3"/>
  <c r="G172" i="3"/>
  <c r="H172" i="3"/>
  <c r="I172" i="3"/>
  <c r="J172" i="3"/>
  <c r="K172" i="3"/>
  <c r="L172" i="3"/>
  <c r="C173" i="3"/>
  <c r="D173" i="3"/>
  <c r="E173" i="3"/>
  <c r="F173" i="3"/>
  <c r="G173" i="3"/>
  <c r="H173" i="3"/>
  <c r="I173" i="3"/>
  <c r="J173" i="3"/>
  <c r="K173" i="3"/>
  <c r="L173" i="3"/>
  <c r="C174" i="3"/>
  <c r="D174" i="3"/>
  <c r="E174" i="3"/>
  <c r="F174" i="3"/>
  <c r="G174" i="3"/>
  <c r="H174" i="3"/>
  <c r="I174" i="3"/>
  <c r="J174" i="3"/>
  <c r="K174" i="3"/>
  <c r="L174" i="3"/>
  <c r="C175" i="3"/>
  <c r="D175" i="3"/>
  <c r="E175" i="3"/>
  <c r="F175" i="3"/>
  <c r="G175" i="3"/>
  <c r="H175" i="3"/>
  <c r="I175" i="3"/>
  <c r="J175" i="3"/>
  <c r="K175" i="3"/>
  <c r="L175" i="3"/>
  <c r="C176" i="3"/>
  <c r="D176" i="3"/>
  <c r="E176" i="3"/>
  <c r="F176" i="3"/>
  <c r="G176" i="3"/>
  <c r="H176" i="3"/>
  <c r="I176" i="3"/>
  <c r="J176" i="3"/>
  <c r="K176" i="3"/>
  <c r="L176" i="3"/>
  <c r="C177" i="3"/>
  <c r="D177" i="3"/>
  <c r="E177" i="3"/>
  <c r="F177" i="3"/>
  <c r="G177" i="3"/>
  <c r="H177" i="3"/>
  <c r="I177" i="3"/>
  <c r="J177" i="3"/>
  <c r="K177" i="3"/>
  <c r="L177" i="3"/>
  <c r="C178" i="3"/>
  <c r="D178" i="3"/>
  <c r="E178" i="3"/>
  <c r="F178" i="3"/>
  <c r="G178" i="3"/>
  <c r="H178" i="3"/>
  <c r="I178" i="3"/>
  <c r="J178" i="3"/>
  <c r="K178" i="3"/>
  <c r="L178" i="3"/>
  <c r="C179" i="3"/>
  <c r="D179" i="3"/>
  <c r="E179" i="3"/>
  <c r="F179" i="3"/>
  <c r="G179" i="3"/>
  <c r="H179" i="3"/>
  <c r="I179" i="3"/>
  <c r="J179" i="3"/>
  <c r="K179" i="3"/>
  <c r="L179" i="3"/>
  <c r="C180" i="3"/>
  <c r="D180" i="3"/>
  <c r="E180" i="3"/>
  <c r="F180" i="3"/>
  <c r="G180" i="3"/>
  <c r="H180" i="3"/>
  <c r="I180" i="3"/>
  <c r="J180" i="3"/>
  <c r="K180" i="3"/>
  <c r="L180" i="3"/>
  <c r="C181" i="3"/>
  <c r="D181" i="3"/>
  <c r="E181" i="3"/>
  <c r="F181" i="3"/>
  <c r="G181" i="3"/>
  <c r="H181" i="3"/>
  <c r="I181" i="3"/>
  <c r="J181" i="3"/>
  <c r="K181" i="3"/>
  <c r="L181" i="3"/>
  <c r="C182" i="3"/>
  <c r="D182" i="3"/>
  <c r="E182" i="3"/>
  <c r="F182" i="3"/>
  <c r="G182" i="3"/>
  <c r="H182" i="3"/>
  <c r="I182" i="3"/>
  <c r="J182" i="3"/>
  <c r="K182" i="3"/>
  <c r="L182" i="3"/>
  <c r="C183" i="3"/>
  <c r="D183" i="3"/>
  <c r="E183" i="3"/>
  <c r="F183" i="3"/>
  <c r="G183" i="3"/>
  <c r="H183" i="3"/>
  <c r="I183" i="3"/>
  <c r="J183" i="3"/>
  <c r="K183" i="3"/>
  <c r="L183" i="3"/>
  <c r="C184" i="3"/>
  <c r="D184" i="3"/>
  <c r="E184" i="3"/>
  <c r="F184" i="3"/>
  <c r="G184" i="3"/>
  <c r="H184" i="3"/>
  <c r="I184" i="3"/>
  <c r="J184" i="3"/>
  <c r="K184" i="3"/>
  <c r="L184" i="3"/>
  <c r="C185" i="3"/>
  <c r="D185" i="3"/>
  <c r="E185" i="3"/>
  <c r="F185" i="3"/>
  <c r="G185" i="3"/>
  <c r="H185" i="3"/>
  <c r="I185" i="3"/>
  <c r="J185" i="3"/>
  <c r="K185" i="3"/>
  <c r="L185" i="3"/>
  <c r="C186" i="3"/>
  <c r="D186" i="3"/>
  <c r="E186" i="3"/>
  <c r="F186" i="3"/>
  <c r="G186" i="3"/>
  <c r="H186" i="3"/>
  <c r="I186" i="3"/>
  <c r="J186" i="3"/>
  <c r="K186" i="3"/>
  <c r="L186" i="3"/>
  <c r="C187" i="3"/>
  <c r="D187" i="3"/>
  <c r="E187" i="3"/>
  <c r="F187" i="3"/>
  <c r="G187" i="3"/>
  <c r="H187" i="3"/>
  <c r="I187" i="3"/>
  <c r="J187" i="3"/>
  <c r="K187" i="3"/>
  <c r="L187" i="3"/>
  <c r="C188" i="3"/>
  <c r="D188" i="3"/>
  <c r="E188" i="3"/>
  <c r="F188" i="3"/>
  <c r="G188" i="3"/>
  <c r="H188" i="3"/>
  <c r="I188" i="3"/>
  <c r="J188" i="3"/>
  <c r="K188" i="3"/>
  <c r="L188" i="3"/>
  <c r="C189" i="3"/>
  <c r="D189" i="3"/>
  <c r="E189" i="3"/>
  <c r="F189" i="3"/>
  <c r="G189" i="3"/>
  <c r="H189" i="3"/>
  <c r="I189" i="3"/>
  <c r="J189" i="3"/>
  <c r="K189" i="3"/>
  <c r="L189" i="3"/>
  <c r="C190" i="3"/>
  <c r="D190" i="3"/>
  <c r="E190" i="3"/>
  <c r="F190" i="3"/>
  <c r="G190" i="3"/>
  <c r="H190" i="3"/>
  <c r="I190" i="3"/>
  <c r="J190" i="3"/>
  <c r="K190" i="3"/>
  <c r="L190" i="3"/>
  <c r="C191" i="3"/>
  <c r="D191" i="3"/>
  <c r="E191" i="3"/>
  <c r="F191" i="3"/>
  <c r="G191" i="3"/>
  <c r="H191" i="3"/>
  <c r="I191" i="3"/>
  <c r="J191" i="3"/>
  <c r="K191" i="3"/>
  <c r="L191" i="3"/>
  <c r="C192" i="3"/>
  <c r="D192" i="3"/>
  <c r="E192" i="3"/>
  <c r="F192" i="3"/>
  <c r="G192" i="3"/>
  <c r="H192" i="3"/>
  <c r="I192" i="3"/>
  <c r="J192" i="3"/>
  <c r="K192" i="3"/>
  <c r="L192" i="3"/>
  <c r="C193" i="3"/>
  <c r="D193" i="3"/>
  <c r="E193" i="3"/>
  <c r="F193" i="3"/>
  <c r="G193" i="3"/>
  <c r="H193" i="3"/>
  <c r="I193" i="3"/>
  <c r="J193" i="3"/>
  <c r="K193" i="3"/>
  <c r="L193" i="3"/>
  <c r="C194" i="3"/>
  <c r="D194" i="3"/>
  <c r="E194" i="3"/>
  <c r="F194" i="3"/>
  <c r="G194" i="3"/>
  <c r="H194" i="3"/>
  <c r="I194" i="3"/>
  <c r="J194" i="3"/>
  <c r="K194" i="3"/>
  <c r="L194" i="3"/>
  <c r="C195" i="3"/>
  <c r="D195" i="3"/>
  <c r="E195" i="3"/>
  <c r="F195" i="3"/>
  <c r="G195" i="3"/>
  <c r="H195" i="3"/>
  <c r="I195" i="3"/>
  <c r="J195" i="3"/>
  <c r="K195" i="3"/>
  <c r="L195" i="3"/>
  <c r="C196" i="3"/>
  <c r="D196" i="3"/>
  <c r="E196" i="3"/>
  <c r="F196" i="3"/>
  <c r="G196" i="3"/>
  <c r="H196" i="3"/>
  <c r="I196" i="3"/>
  <c r="J196" i="3"/>
  <c r="K196" i="3"/>
  <c r="L196" i="3"/>
  <c r="C197" i="3"/>
  <c r="D197" i="3"/>
  <c r="E197" i="3"/>
  <c r="F197" i="3"/>
  <c r="G197" i="3"/>
  <c r="H197" i="3"/>
  <c r="I197" i="3"/>
  <c r="J197" i="3"/>
  <c r="K197" i="3"/>
  <c r="L197" i="3"/>
  <c r="C198" i="3"/>
  <c r="D198" i="3"/>
  <c r="E198" i="3"/>
  <c r="F198" i="3"/>
  <c r="G198" i="3"/>
  <c r="H198" i="3"/>
  <c r="I198" i="3"/>
  <c r="J198" i="3"/>
  <c r="K198" i="3"/>
  <c r="L198" i="3"/>
  <c r="C199" i="3"/>
  <c r="D199" i="3"/>
  <c r="E199" i="3"/>
  <c r="F199" i="3"/>
  <c r="G199" i="3"/>
  <c r="H199" i="3"/>
  <c r="I199" i="3"/>
  <c r="J199" i="3"/>
  <c r="K199" i="3"/>
  <c r="L199" i="3"/>
  <c r="C200" i="3"/>
  <c r="D200" i="3"/>
  <c r="E200" i="3"/>
  <c r="F200" i="3"/>
  <c r="G200" i="3"/>
  <c r="H200" i="3"/>
  <c r="I200" i="3"/>
  <c r="J200" i="3"/>
  <c r="K200" i="3"/>
  <c r="L200" i="3"/>
  <c r="C201" i="3"/>
  <c r="D201" i="3"/>
  <c r="E201" i="3"/>
  <c r="F201" i="3"/>
  <c r="G201" i="3"/>
  <c r="H201" i="3"/>
  <c r="I201" i="3"/>
  <c r="J201" i="3"/>
  <c r="K201" i="3"/>
  <c r="L201" i="3"/>
  <c r="C202" i="3"/>
  <c r="D202" i="3"/>
  <c r="E202" i="3"/>
  <c r="F202" i="3"/>
  <c r="G202" i="3"/>
  <c r="H202" i="3"/>
  <c r="I202" i="3"/>
  <c r="J202" i="3"/>
  <c r="K202" i="3"/>
  <c r="L202" i="3"/>
  <c r="C203" i="3"/>
  <c r="D203" i="3"/>
  <c r="E203" i="3"/>
  <c r="F203" i="3"/>
  <c r="G203" i="3"/>
  <c r="H203" i="3"/>
  <c r="I203" i="3"/>
  <c r="J203" i="3"/>
  <c r="K203" i="3"/>
  <c r="L203" i="3"/>
  <c r="C204" i="3"/>
  <c r="D204" i="3"/>
  <c r="E204" i="3"/>
  <c r="F204" i="3"/>
  <c r="G204" i="3"/>
  <c r="H204" i="3"/>
  <c r="I204" i="3"/>
  <c r="J204" i="3"/>
  <c r="K204" i="3"/>
  <c r="L204" i="3"/>
  <c r="C205" i="3"/>
  <c r="D205" i="3"/>
  <c r="E205" i="3"/>
  <c r="F205" i="3"/>
  <c r="G205" i="3"/>
  <c r="H205" i="3"/>
  <c r="I205" i="3"/>
  <c r="J205" i="3"/>
  <c r="K205" i="3"/>
  <c r="L205" i="3"/>
  <c r="C206" i="3"/>
  <c r="D206" i="3"/>
  <c r="E206" i="3"/>
  <c r="F206" i="3"/>
  <c r="G206" i="3"/>
  <c r="H206" i="3"/>
  <c r="I206" i="3"/>
  <c r="J206" i="3"/>
  <c r="K206" i="3"/>
  <c r="L206" i="3"/>
  <c r="C207" i="3"/>
  <c r="D207" i="3"/>
  <c r="E207" i="3"/>
  <c r="F207" i="3"/>
  <c r="G207" i="3"/>
  <c r="H207" i="3"/>
  <c r="I207" i="3"/>
  <c r="J207" i="3"/>
  <c r="K207" i="3"/>
  <c r="L207" i="3"/>
  <c r="C208" i="3"/>
  <c r="D208" i="3"/>
  <c r="E208" i="3"/>
  <c r="F208" i="3"/>
  <c r="G208" i="3"/>
  <c r="H208" i="3"/>
  <c r="I208" i="3"/>
  <c r="J208" i="3"/>
  <c r="K208" i="3"/>
  <c r="L208" i="3"/>
  <c r="C209" i="3"/>
  <c r="D209" i="3"/>
  <c r="E209" i="3"/>
  <c r="F209" i="3"/>
  <c r="G209" i="3"/>
  <c r="H209" i="3"/>
  <c r="I209" i="3"/>
  <c r="J209" i="3"/>
  <c r="K209" i="3"/>
  <c r="L209" i="3"/>
  <c r="C210" i="3"/>
  <c r="D210" i="3"/>
  <c r="E210" i="3"/>
  <c r="F210" i="3"/>
  <c r="G210" i="3"/>
  <c r="H210" i="3"/>
  <c r="I210" i="3"/>
  <c r="J210" i="3"/>
  <c r="K210" i="3"/>
  <c r="L210" i="3"/>
  <c r="C211" i="3"/>
  <c r="D211" i="3"/>
  <c r="E211" i="3"/>
  <c r="F211" i="3"/>
  <c r="G211" i="3"/>
  <c r="H211" i="3"/>
  <c r="I211" i="3"/>
  <c r="J211" i="3"/>
  <c r="K211" i="3"/>
  <c r="L211" i="3"/>
  <c r="C212" i="3"/>
  <c r="D212" i="3"/>
  <c r="E212" i="3"/>
  <c r="F212" i="3"/>
  <c r="G212" i="3"/>
  <c r="H212" i="3"/>
  <c r="I212" i="3"/>
  <c r="J212" i="3"/>
  <c r="K212" i="3"/>
  <c r="L212" i="3"/>
  <c r="C213" i="3"/>
  <c r="D213" i="3"/>
  <c r="E213" i="3"/>
  <c r="F213" i="3"/>
  <c r="G213" i="3"/>
  <c r="H213" i="3"/>
  <c r="I213" i="3"/>
  <c r="J213" i="3"/>
  <c r="K213" i="3"/>
  <c r="L213" i="3"/>
  <c r="C214" i="3"/>
  <c r="D214" i="3"/>
  <c r="E214" i="3"/>
  <c r="F214" i="3"/>
  <c r="G214" i="3"/>
  <c r="H214" i="3"/>
  <c r="I214" i="3"/>
  <c r="J214" i="3"/>
  <c r="K214" i="3"/>
  <c r="L214" i="3"/>
  <c r="C215" i="3"/>
  <c r="D215" i="3"/>
  <c r="E215" i="3"/>
  <c r="F215" i="3"/>
  <c r="G215" i="3"/>
  <c r="H215" i="3"/>
  <c r="I215" i="3"/>
  <c r="J215" i="3"/>
  <c r="K215" i="3"/>
  <c r="L215" i="3"/>
  <c r="C216" i="3"/>
  <c r="D216" i="3"/>
  <c r="E216" i="3"/>
  <c r="F216" i="3"/>
  <c r="G216" i="3"/>
  <c r="H216" i="3"/>
  <c r="I216" i="3"/>
  <c r="J216" i="3"/>
  <c r="K216" i="3"/>
  <c r="L216" i="3"/>
  <c r="C217" i="3"/>
  <c r="D217" i="3"/>
  <c r="E217" i="3"/>
  <c r="F217" i="3"/>
  <c r="G217" i="3"/>
  <c r="H217" i="3"/>
  <c r="I217" i="3"/>
  <c r="J217" i="3"/>
  <c r="K217" i="3"/>
  <c r="L217" i="3"/>
  <c r="C218" i="3"/>
  <c r="D218" i="3"/>
  <c r="E218" i="3"/>
  <c r="F218" i="3"/>
  <c r="G218" i="3"/>
  <c r="H218" i="3"/>
  <c r="I218" i="3"/>
  <c r="J218" i="3"/>
  <c r="K218" i="3"/>
  <c r="L218" i="3"/>
  <c r="C219" i="3"/>
  <c r="D219" i="3"/>
  <c r="E219" i="3"/>
  <c r="F219" i="3"/>
  <c r="G219" i="3"/>
  <c r="H219" i="3"/>
  <c r="I219" i="3"/>
  <c r="J219" i="3"/>
  <c r="K219" i="3"/>
  <c r="L219" i="3"/>
  <c r="C220" i="3"/>
  <c r="D220" i="3"/>
  <c r="E220" i="3"/>
  <c r="F220" i="3"/>
  <c r="G220" i="3"/>
  <c r="H220" i="3"/>
  <c r="I220" i="3"/>
  <c r="J220" i="3"/>
  <c r="K220" i="3"/>
  <c r="L220" i="3"/>
  <c r="C221" i="3"/>
  <c r="D221" i="3"/>
  <c r="E221" i="3"/>
  <c r="F221" i="3"/>
  <c r="G221" i="3"/>
  <c r="H221" i="3"/>
  <c r="I221" i="3"/>
  <c r="J221" i="3"/>
  <c r="K221" i="3"/>
  <c r="L221" i="3"/>
  <c r="C222" i="3"/>
  <c r="D222" i="3"/>
  <c r="E222" i="3"/>
  <c r="F222" i="3"/>
  <c r="G222" i="3"/>
  <c r="H222" i="3"/>
  <c r="I222" i="3"/>
  <c r="J222" i="3"/>
  <c r="K222" i="3"/>
  <c r="L222" i="3"/>
  <c r="C223" i="3"/>
  <c r="D223" i="3"/>
  <c r="E223" i="3"/>
  <c r="F223" i="3"/>
  <c r="G223" i="3"/>
  <c r="H223" i="3"/>
  <c r="I223" i="3"/>
  <c r="J223" i="3"/>
  <c r="K223" i="3"/>
  <c r="L223" i="3"/>
  <c r="C224" i="3"/>
  <c r="D224" i="3"/>
  <c r="E224" i="3"/>
  <c r="F224" i="3"/>
  <c r="G224" i="3"/>
  <c r="H224" i="3"/>
  <c r="I224" i="3"/>
  <c r="J224" i="3"/>
  <c r="K224" i="3"/>
  <c r="L224" i="3"/>
  <c r="C225" i="3"/>
  <c r="D225" i="3"/>
  <c r="E225" i="3"/>
  <c r="F225" i="3"/>
  <c r="G225" i="3"/>
  <c r="H225" i="3"/>
  <c r="I225" i="3"/>
  <c r="J225" i="3"/>
  <c r="K225" i="3"/>
  <c r="L225" i="3"/>
  <c r="C226" i="3"/>
  <c r="D226" i="3"/>
  <c r="E226" i="3"/>
  <c r="F226" i="3"/>
  <c r="G226" i="3"/>
  <c r="H226" i="3"/>
  <c r="I226" i="3"/>
  <c r="J226" i="3"/>
  <c r="K226" i="3"/>
  <c r="L226" i="3"/>
  <c r="C227" i="3"/>
  <c r="D227" i="3"/>
  <c r="E227" i="3"/>
  <c r="F227" i="3"/>
  <c r="G227" i="3"/>
  <c r="H227" i="3"/>
  <c r="I227" i="3"/>
  <c r="J227" i="3"/>
  <c r="K227" i="3"/>
  <c r="L227" i="3"/>
  <c r="C228" i="3"/>
  <c r="D228" i="3"/>
  <c r="E228" i="3"/>
  <c r="F228" i="3"/>
  <c r="G228" i="3"/>
  <c r="H228" i="3"/>
  <c r="I228" i="3"/>
  <c r="J228" i="3"/>
  <c r="K228" i="3"/>
  <c r="L228" i="3"/>
  <c r="C229" i="3"/>
  <c r="D229" i="3"/>
  <c r="E229" i="3"/>
  <c r="F229" i="3"/>
  <c r="G229" i="3"/>
  <c r="H229" i="3"/>
  <c r="I229" i="3"/>
  <c r="J229" i="3"/>
  <c r="K229" i="3"/>
  <c r="L229" i="3"/>
  <c r="C230" i="3"/>
  <c r="D230" i="3"/>
  <c r="E230" i="3"/>
  <c r="F230" i="3"/>
  <c r="G230" i="3"/>
  <c r="H230" i="3"/>
  <c r="I230" i="3"/>
  <c r="J230" i="3"/>
  <c r="K230" i="3"/>
  <c r="L230" i="3"/>
  <c r="C231" i="3"/>
  <c r="D231" i="3"/>
  <c r="E231" i="3"/>
  <c r="F231" i="3"/>
  <c r="G231" i="3"/>
  <c r="H231" i="3"/>
  <c r="I231" i="3"/>
  <c r="J231" i="3"/>
  <c r="K231" i="3"/>
  <c r="L231" i="3"/>
  <c r="C232" i="3"/>
  <c r="D232" i="3"/>
  <c r="E232" i="3"/>
  <c r="F232" i="3"/>
  <c r="G232" i="3"/>
  <c r="H232" i="3"/>
  <c r="I232" i="3"/>
  <c r="J232" i="3"/>
  <c r="K232" i="3"/>
  <c r="L232" i="3"/>
</calcChain>
</file>

<file path=xl/sharedStrings.xml><?xml version="1.0" encoding="utf-8"?>
<sst xmlns="http://schemas.openxmlformats.org/spreadsheetml/2006/main" count="25687" uniqueCount="6366">
  <si>
    <t>Fit</t>
  </si>
  <si>
    <t>Lighting</t>
  </si>
  <si>
    <t>Packaging Dimensions</t>
  </si>
  <si>
    <t>Item No.</t>
  </si>
  <si>
    <t>Description</t>
  </si>
  <si>
    <t>Component</t>
  </si>
  <si>
    <t>Qty per UoM</t>
  </si>
  <si>
    <t>H (m)</t>
  </si>
  <si>
    <t>W (m)</t>
  </si>
  <si>
    <t>L (m)</t>
  </si>
  <si>
    <t>Weight (kg)</t>
  </si>
  <si>
    <t>Country of Origin</t>
  </si>
  <si>
    <t>Commodity Code</t>
  </si>
  <si>
    <t>EAN (EA)</t>
  </si>
  <si>
    <t>BSS02-FEUM1</t>
  </si>
  <si>
    <t>BSF02EU</t>
  </si>
  <si>
    <t>BSS02</t>
  </si>
  <si>
    <t>BSS01-TEUM1</t>
  </si>
  <si>
    <t>BSS01</t>
  </si>
  <si>
    <t>BST02EU</t>
  </si>
  <si>
    <t>BSS03-WEUM1</t>
  </si>
  <si>
    <t>BSA03EU</t>
  </si>
  <si>
    <t>BSS03</t>
  </si>
  <si>
    <t>BLF01EU</t>
  </si>
  <si>
    <t>BLF01BEU</t>
  </si>
  <si>
    <t>BLS02B-PEUM2</t>
  </si>
  <si>
    <t>BLS02B</t>
  </si>
  <si>
    <t>SPA12EU</t>
  </si>
  <si>
    <t>BLS02-PEUM2</t>
  </si>
  <si>
    <t>BLS02</t>
  </si>
  <si>
    <t>BLS02GR-PEUM2</t>
  </si>
  <si>
    <t>BLS02GR</t>
  </si>
  <si>
    <t>BLS02WH-PEUM2</t>
  </si>
  <si>
    <t>BLS02WH</t>
  </si>
  <si>
    <t>SPA12WEU</t>
  </si>
  <si>
    <t>BLS03B-PEUM2</t>
  </si>
  <si>
    <t>BLS03B</t>
  </si>
  <si>
    <t>BLS03-PEUM2</t>
  </si>
  <si>
    <t>BLS03</t>
  </si>
  <si>
    <t>BLS03GR-PEUM2</t>
  </si>
  <si>
    <t>BLS03GR</t>
  </si>
  <si>
    <t>BLS04WH-PEUM2</t>
  </si>
  <si>
    <t>BLS04WH</t>
  </si>
  <si>
    <t>SPA13WEU</t>
  </si>
  <si>
    <t>BLS03WH-PEUM2</t>
  </si>
  <si>
    <t>BLS03WH</t>
  </si>
  <si>
    <t>BLS01-PEUM2</t>
  </si>
  <si>
    <t>BLS01</t>
  </si>
  <si>
    <t>BLS01B-PEUM2</t>
  </si>
  <si>
    <t>BLS01B</t>
  </si>
  <si>
    <t>BLS01GR-PEUM2</t>
  </si>
  <si>
    <t>BLS01GR</t>
  </si>
  <si>
    <t>BLS01WH-PEUM2</t>
  </si>
  <si>
    <t>BLS01WH</t>
  </si>
  <si>
    <t>BLS04-PEUM2</t>
  </si>
  <si>
    <t>BLS04</t>
  </si>
  <si>
    <t>SPA13EU</t>
  </si>
  <si>
    <t>BLS04B-PEUM2</t>
  </si>
  <si>
    <t>BLS04B</t>
  </si>
  <si>
    <t>BLS04GR-PEUM2</t>
  </si>
  <si>
    <t>BLS04GR</t>
  </si>
  <si>
    <t>BLS06-PEUM1</t>
  </si>
  <si>
    <t>BLS06</t>
  </si>
  <si>
    <t>BLS05-PEUM1</t>
  </si>
  <si>
    <t>BLS05</t>
  </si>
  <si>
    <t>BLT01EU</t>
  </si>
  <si>
    <t>BLT01BEU</t>
  </si>
  <si>
    <t>BLW01EU</t>
  </si>
  <si>
    <t>BEF01CHEU.01</t>
  </si>
  <si>
    <t>BET01BEU</t>
  </si>
  <si>
    <t>BET01CHEU</t>
  </si>
  <si>
    <t>BET01CEU</t>
  </si>
  <si>
    <t>BET01BKEU</t>
  </si>
  <si>
    <t>BET02BKEU</t>
  </si>
  <si>
    <t>BET02CHEU</t>
  </si>
  <si>
    <t>BMTL01ALUEU.01</t>
  </si>
  <si>
    <t>BMTL01BLKEU.01</t>
  </si>
  <si>
    <t>MSS01REU</t>
  </si>
  <si>
    <t>MSS01RBKEU</t>
  </si>
  <si>
    <t>MSS01RCHEU</t>
  </si>
  <si>
    <t>MSS01RGOEU</t>
  </si>
  <si>
    <t>MSS02REU</t>
  </si>
  <si>
    <t>MSS02RBKEU</t>
  </si>
  <si>
    <t>MSS02RCHEU</t>
  </si>
  <si>
    <t>MSS02RGOEU</t>
  </si>
  <si>
    <t>MSS01WEU</t>
  </si>
  <si>
    <t>MSS01WBKEU</t>
  </si>
  <si>
    <t>MSS01WCHEU</t>
  </si>
  <si>
    <t>MSS01WGOEU</t>
  </si>
  <si>
    <t>CUSP01BLEU</t>
  </si>
  <si>
    <t>CUSP02BLEU</t>
  </si>
  <si>
    <t>CUSP01CHEU</t>
  </si>
  <si>
    <t>CUSP02CHEU</t>
  </si>
  <si>
    <t>CUSP01GOEU</t>
  </si>
  <si>
    <t>CUSP02GOEU</t>
  </si>
  <si>
    <t>CUSP01SMEU</t>
  </si>
  <si>
    <t>CUSP02SMEU</t>
  </si>
  <si>
    <t>CUSS02BLEU</t>
  </si>
  <si>
    <t>CUSS02CHEU</t>
  </si>
  <si>
    <t>CUSS02GOEU</t>
  </si>
  <si>
    <t>CUSS02SMEU</t>
  </si>
  <si>
    <t>ETS03BLKEU</t>
  </si>
  <si>
    <t>ETS02B50EU</t>
  </si>
  <si>
    <t>ETS03CEU</t>
  </si>
  <si>
    <t>ETS03BEU</t>
  </si>
  <si>
    <t>ETS03SEU</t>
  </si>
  <si>
    <t>ETW01BEU</t>
  </si>
  <si>
    <t>ETW01SEU</t>
  </si>
  <si>
    <t>FSS01GW-PEUM2</t>
  </si>
  <si>
    <t>FSS01GW</t>
  </si>
  <si>
    <t>SPA08EU</t>
  </si>
  <si>
    <t>MES01CHEU</t>
  </si>
  <si>
    <t>MES01GEU</t>
  </si>
  <si>
    <t>MES01COEU</t>
  </si>
  <si>
    <t>MES01SMEU</t>
  </si>
  <si>
    <t>MES01BLEU</t>
  </si>
  <si>
    <t>MES02CHEU</t>
  </si>
  <si>
    <t>MES02GEU</t>
  </si>
  <si>
    <t>MES02COEU</t>
  </si>
  <si>
    <t>MES02SMEU</t>
  </si>
  <si>
    <t>MES02BLEU</t>
  </si>
  <si>
    <t>MESS02BLEU</t>
  </si>
  <si>
    <t>MESS02CHEU</t>
  </si>
  <si>
    <t>MESS02COEU</t>
  </si>
  <si>
    <t>MESS02GOEU</t>
  </si>
  <si>
    <t>MESS02SMEU</t>
  </si>
  <si>
    <t>MBB50AEU</t>
  </si>
  <si>
    <t>MBB40AEU</t>
  </si>
  <si>
    <t>MBB25AEU</t>
  </si>
  <si>
    <t>MBB50GEU</t>
  </si>
  <si>
    <t>MBB40GEU</t>
  </si>
  <si>
    <t>MBB25GEU</t>
  </si>
  <si>
    <t>MBB50CEU</t>
  </si>
  <si>
    <t>MBB40CEU</t>
  </si>
  <si>
    <t>MBB25CEU</t>
  </si>
  <si>
    <t>SLL01BEU</t>
  </si>
  <si>
    <t>SLL03BEU</t>
  </si>
  <si>
    <t>SLL04BEU</t>
  </si>
  <si>
    <t>SLL05BEU</t>
  </si>
  <si>
    <t>SPOP02BEU</t>
  </si>
  <si>
    <t>SPOP02CEU</t>
  </si>
  <si>
    <t>SPOW03BEU</t>
  </si>
  <si>
    <t>SPOW04CEU</t>
  </si>
  <si>
    <t>SPOW04BEU</t>
  </si>
  <si>
    <t>SPOW03CEU</t>
  </si>
  <si>
    <t>STP02WEU</t>
  </si>
  <si>
    <t>STW02WEU</t>
  </si>
  <si>
    <t>STT02WEU</t>
  </si>
  <si>
    <t>TOP02SEU</t>
  </si>
  <si>
    <t>VOS01B-PEUM2</t>
  </si>
  <si>
    <t>VOS01B</t>
  </si>
  <si>
    <t>VOS02B-PEUM2</t>
  </si>
  <si>
    <t>VOS02B</t>
  </si>
  <si>
    <t>VOS01C-PEUM2</t>
  </si>
  <si>
    <t>VOS01C</t>
  </si>
  <si>
    <t>VOS02C-PEUM2</t>
  </si>
  <si>
    <t>VOS02C</t>
  </si>
  <si>
    <t>VOS01S-PEUM2</t>
  </si>
  <si>
    <t>VOS01S</t>
  </si>
  <si>
    <t>VOS02S-PEUM2</t>
  </si>
  <si>
    <t>VOS02S</t>
  </si>
  <si>
    <t>VOS01B-SMEU</t>
  </si>
  <si>
    <t>VSA01EU</t>
  </si>
  <si>
    <t>VOS01C-SMEU</t>
  </si>
  <si>
    <t>VOS01S-SMEU</t>
  </si>
  <si>
    <t>FSS01GW-FEUM2</t>
  </si>
  <si>
    <t>LFA04EU</t>
  </si>
  <si>
    <t>MESC01G-FEUM1</t>
  </si>
  <si>
    <t>MES01G</t>
  </si>
  <si>
    <t>MES02G</t>
  </si>
  <si>
    <t>SC01GEU</t>
  </si>
  <si>
    <t>MBBSC01G-FEUM1</t>
  </si>
  <si>
    <t>MBB25G</t>
  </si>
  <si>
    <t>MBB40G</t>
  </si>
  <si>
    <t>MBB50G</t>
  </si>
  <si>
    <t>MET01COEU</t>
  </si>
  <si>
    <t>SLT01BEU</t>
  </si>
  <si>
    <t>PENDANT SYSTEMS</t>
  </si>
  <si>
    <t>BLPS03-PEUM1</t>
  </si>
  <si>
    <t>CGR03EU</t>
  </si>
  <si>
    <t>BLPS02-PEUM1</t>
  </si>
  <si>
    <t>CGR01EU</t>
  </si>
  <si>
    <t>BLPS04-PEUM1</t>
  </si>
  <si>
    <t>BLPS01-PEUM1</t>
  </si>
  <si>
    <t>BLPS03B-PEUM1</t>
  </si>
  <si>
    <t>BLPS02B-PEUM1</t>
  </si>
  <si>
    <t>BLPS01B-PEUM1</t>
  </si>
  <si>
    <t>BLPS03GR-PEUM1</t>
  </si>
  <si>
    <t>BLPS02GR-PEUM1</t>
  </si>
  <si>
    <t>BLPS01GR-PEUM1</t>
  </si>
  <si>
    <t>BLPS03WH-PEUM1</t>
  </si>
  <si>
    <t>BLPS02WH-PEUM1</t>
  </si>
  <si>
    <t>BLPS01WH-PEUM1</t>
  </si>
  <si>
    <t>CLPS02BK-PEUM1</t>
  </si>
  <si>
    <t>CLPS02-PEUM1</t>
  </si>
  <si>
    <t>CLMS02BK-PEUM1</t>
  </si>
  <si>
    <t>MEGA01REU</t>
  </si>
  <si>
    <t>CLPS04BK-PEUM1</t>
  </si>
  <si>
    <t>CLMS02-PEUM1</t>
  </si>
  <si>
    <t>CLPS04-PEUM1</t>
  </si>
  <si>
    <t>CLPS03BK-PEUM1</t>
  </si>
  <si>
    <t>CLPS03-PEUM1</t>
  </si>
  <si>
    <t>MLPS03CH-PEUM1</t>
  </si>
  <si>
    <t>MLPS02CH-PEUM1</t>
  </si>
  <si>
    <t>MLPS01CH-PEUM1</t>
  </si>
  <si>
    <t>MLPS03C-PEUM1</t>
  </si>
  <si>
    <t>MLPS02C-PEUM1</t>
  </si>
  <si>
    <t>MLPS01C-PEUM1</t>
  </si>
  <si>
    <t>MLPS03G-PEUM1</t>
  </si>
  <si>
    <t>MLPS02G-PEUM1</t>
  </si>
  <si>
    <t>MLPS01G-PEUM1</t>
  </si>
  <si>
    <t>MLPS03SM-PEUM1</t>
  </si>
  <si>
    <t>MLPS02SM-PEUM1</t>
  </si>
  <si>
    <t>MLPS01SM-PEUM1</t>
  </si>
  <si>
    <t>BLMS01-PEUM1</t>
  </si>
  <si>
    <t>CTMS01CH-PEUM1</t>
  </si>
  <si>
    <t>MLMS01CH-PEUM1</t>
  </si>
  <si>
    <t>MLMS01C-PEUM1</t>
  </si>
  <si>
    <t>MLMS01G-PEUM1</t>
  </si>
  <si>
    <t>MLMS01SM-PEUM1</t>
  </si>
  <si>
    <t>MBMS01G-PEUM1</t>
  </si>
  <si>
    <t>MBMS01-PEUM1</t>
  </si>
  <si>
    <t>TOMS01-PEUM2</t>
  </si>
  <si>
    <t>MBPS03-PEUM1</t>
  </si>
  <si>
    <t>MBPS01-PEUM1</t>
  </si>
  <si>
    <t>MBPS02-PEUM1</t>
  </si>
  <si>
    <t>MBPS03G-PEUM1</t>
  </si>
  <si>
    <t>MBPS02G-PEUM1</t>
  </si>
  <si>
    <t>VLPS03B-PEUM1</t>
  </si>
  <si>
    <t>VLPS02B-PEUM1</t>
  </si>
  <si>
    <t>VLPS01B-PEUM1</t>
  </si>
  <si>
    <t>VLPS03CO-PEUM1</t>
  </si>
  <si>
    <t>VLPS02CO-PEUM1</t>
  </si>
  <si>
    <t>VLPS01CO-PEUM1</t>
  </si>
  <si>
    <t>VLPS03S-PEUM1</t>
  </si>
  <si>
    <t>VLPS02S-PEUM1</t>
  </si>
  <si>
    <t>VLPS01S-PEUM1</t>
  </si>
  <si>
    <t>TOPS01-PEUM2</t>
  </si>
  <si>
    <t>CTMS01GO-PEUM1</t>
  </si>
  <si>
    <t>CUS01GO-PEUM1</t>
  </si>
  <si>
    <t>CUS01CH-PEUM1</t>
  </si>
  <si>
    <t>ELPS02BLK-PEUM1</t>
  </si>
  <si>
    <t>ELPS02B-PEUM1</t>
  </si>
  <si>
    <t>ELPS02C-PEUM1</t>
  </si>
  <si>
    <t>ELPS02S-PEUM1</t>
  </si>
  <si>
    <t>ELPS01B-PEUM1</t>
  </si>
  <si>
    <t>TUB01B</t>
  </si>
  <si>
    <t>SCB04</t>
  </si>
  <si>
    <t>SCB03</t>
  </si>
  <si>
    <t>ROB02-M1</t>
  </si>
  <si>
    <t>ROS02M</t>
  </si>
  <si>
    <t>ROT02</t>
  </si>
  <si>
    <t>ROB02</t>
  </si>
  <si>
    <t>FAB02NA</t>
  </si>
  <si>
    <t>FAB01BL</t>
  </si>
  <si>
    <t>TOPWT02NA</t>
  </si>
  <si>
    <t>TOPWT02BL</t>
  </si>
  <si>
    <t>TOPWT02BIR</t>
  </si>
  <si>
    <t>TOPWT03NA</t>
  </si>
  <si>
    <t>TOPWT03FU</t>
  </si>
  <si>
    <t>TOPWT03BL</t>
  </si>
  <si>
    <t>TOPWT03BIR</t>
  </si>
  <si>
    <t>TOPWT02FU</t>
  </si>
  <si>
    <t>TOPWT01NA</t>
  </si>
  <si>
    <t>TOPWT01FU</t>
  </si>
  <si>
    <t>TOPWT01BL</t>
  </si>
  <si>
    <t>TOPT02W</t>
  </si>
  <si>
    <t>TOPT02GRN</t>
  </si>
  <si>
    <t>TOPT03W02</t>
  </si>
  <si>
    <t>TOPT04W</t>
  </si>
  <si>
    <t>TOPT01W</t>
  </si>
  <si>
    <t>TOPT01GRN</t>
  </si>
  <si>
    <t>BASK1600SILV</t>
  </si>
  <si>
    <t>BASK1200SILV</t>
  </si>
  <si>
    <t>YC02SWBL</t>
  </si>
  <si>
    <t>SUT02B</t>
  </si>
  <si>
    <t>SUT01B</t>
  </si>
  <si>
    <t>WOS01BL</t>
  </si>
  <si>
    <t>WOS02NA</t>
  </si>
  <si>
    <t>SLD03NA-M1</t>
  </si>
  <si>
    <t>SLD03NA-LEGS</t>
  </si>
  <si>
    <t>SLD03NA-BEAM</t>
  </si>
  <si>
    <t>SLD03NA-TOP</t>
  </si>
  <si>
    <t>SLD03FU-M1</t>
  </si>
  <si>
    <t>SLD03FU-LEGS</t>
  </si>
  <si>
    <t>SLD03FU-BEAM</t>
  </si>
  <si>
    <t>SLD03FU-TOP</t>
  </si>
  <si>
    <t>SLD03BIR-M1</t>
  </si>
  <si>
    <t>SLD03BIR-LEGS</t>
  </si>
  <si>
    <t>SLD03BIR-BEAM</t>
  </si>
  <si>
    <t>SLD03BIR-TOP</t>
  </si>
  <si>
    <t>SLD02BIR-M1</t>
  </si>
  <si>
    <t>SLD02BIR-LEGS</t>
  </si>
  <si>
    <t>SLD02BIR-BEAM</t>
  </si>
  <si>
    <t>SLD02BIR-TOP</t>
  </si>
  <si>
    <t>SLD01FU</t>
  </si>
  <si>
    <t>SLD01NA</t>
  </si>
  <si>
    <t>SLD01BIR</t>
  </si>
  <si>
    <t>SLD04NA-M1</t>
  </si>
  <si>
    <t>SLD04NA-LEGS4OF4</t>
  </si>
  <si>
    <t>SLD04NA-BEAM3OF4</t>
  </si>
  <si>
    <t>SLD04NA-TOP2OF4</t>
  </si>
  <si>
    <t>SLD04NA-TOP1O4</t>
  </si>
  <si>
    <t>SLD04FU-M1</t>
  </si>
  <si>
    <t>SLD04FU-LEGS4OF4</t>
  </si>
  <si>
    <t>SLD04FU-BEAM3OF4</t>
  </si>
  <si>
    <t>SLD04FU-TOP2OF4</t>
  </si>
  <si>
    <t>SLD04FU-TOP1OF4</t>
  </si>
  <si>
    <t>SLD06NA-M1</t>
  </si>
  <si>
    <t>SLD06NA-LEGS5OF5</t>
  </si>
  <si>
    <t>SLD06NA-LEGS4OF5</t>
  </si>
  <si>
    <t>SLD06NA-BEAM3OF5</t>
  </si>
  <si>
    <t>SLD06NA-TOP2OF5</t>
  </si>
  <si>
    <t>SLD06NA-TOP1OF5</t>
  </si>
  <si>
    <t>SLD06FU-M1</t>
  </si>
  <si>
    <t>SLD06FU-LEGS5OF5</t>
  </si>
  <si>
    <t>SLD06FU-LEGS4OF5</t>
  </si>
  <si>
    <t>SLD06FU-BEAM3OF5</t>
  </si>
  <si>
    <t>SLD06FU-TOP2OF5</t>
  </si>
  <si>
    <t>SLD06FU-TOP1OF5</t>
  </si>
  <si>
    <t>SLD06BIR-M1</t>
  </si>
  <si>
    <t>SLD06BIR-LEGS5OF5</t>
  </si>
  <si>
    <t>SLD06BIR-LEGS4OF5</t>
  </si>
  <si>
    <t>SLD06BIR-BEAM3OF5</t>
  </si>
  <si>
    <t>SLD06BIR-TOP2OF5</t>
  </si>
  <si>
    <t>SLD06BIR-TOP1OF5</t>
  </si>
  <si>
    <t>SLD05FU-M1</t>
  </si>
  <si>
    <t>SLD05FU-LEGS5OF5</t>
  </si>
  <si>
    <t>SLD05FU-LEGS4OF5</t>
  </si>
  <si>
    <t>SLD05FU-BEAM3OF5</t>
  </si>
  <si>
    <t>SLD05FU-TOP2OF5</t>
  </si>
  <si>
    <t>SLD05FU-TOP1OF5</t>
  </si>
  <si>
    <t>SLD05BIR-M1</t>
  </si>
  <si>
    <t>SLD05BIR-LEGS5OF5</t>
  </si>
  <si>
    <t>SLD05BIR-LEGS4OF5</t>
  </si>
  <si>
    <t>SLD05BIR-BEAM3OF5</t>
  </si>
  <si>
    <t>SLD05BIR-TOP2OF5</t>
  </si>
  <si>
    <t>SLD05BIR-TOP1OF5</t>
  </si>
  <si>
    <t>SLD04BIR-M1</t>
  </si>
  <si>
    <t>SLD04BIR-LEGS4OF4</t>
  </si>
  <si>
    <t>SLD04BIR-BEAM3OF4</t>
  </si>
  <si>
    <t>SLD04BIR-TOP2OF4</t>
  </si>
  <si>
    <t>SLD04BIR-TOP1OF4</t>
  </si>
  <si>
    <t>WOT06NA-M1</t>
  </si>
  <si>
    <t>WOT08NA</t>
  </si>
  <si>
    <t>WOT07NA</t>
  </si>
  <si>
    <t>WOT06NA</t>
  </si>
  <si>
    <t>WOT03FU-M1</t>
  </si>
  <si>
    <t>WOT05FU</t>
  </si>
  <si>
    <t>WOT04FU</t>
  </si>
  <si>
    <t>WOT03FU</t>
  </si>
  <si>
    <t>WOT03BL-M1</t>
  </si>
  <si>
    <t>WOB03BL</t>
  </si>
  <si>
    <t>WOL03BL</t>
  </si>
  <si>
    <t>WOT03BL</t>
  </si>
  <si>
    <t>SCS01</t>
  </si>
  <si>
    <t>OCS03CNA</t>
  </si>
  <si>
    <t>MAST01B-M1</t>
  </si>
  <si>
    <t>MASL01B</t>
  </si>
  <si>
    <t>MAST01B</t>
  </si>
  <si>
    <t>MAST02B</t>
  </si>
  <si>
    <t>FLT03-M1</t>
  </si>
  <si>
    <t>FLB03</t>
  </si>
  <si>
    <t>FLT03</t>
  </si>
  <si>
    <t>FLT01-M1</t>
  </si>
  <si>
    <t>FLB01</t>
  </si>
  <si>
    <t>FLT01</t>
  </si>
  <si>
    <t>FLT02-M1</t>
  </si>
  <si>
    <t>FLB02</t>
  </si>
  <si>
    <t>FLT02</t>
  </si>
  <si>
    <t>FAP01BL-BM1</t>
  </si>
  <si>
    <t>FAP01BL</t>
  </si>
  <si>
    <t>FAP01BL-AM1</t>
  </si>
  <si>
    <t>Furniture</t>
  </si>
  <si>
    <t>Auto+Hide</t>
  </si>
  <si>
    <t>FTC01BR</t>
  </si>
  <si>
    <t>STCS02</t>
  </si>
  <si>
    <t>STC02B</t>
  </si>
  <si>
    <t>BAP12B</t>
  </si>
  <si>
    <t>BAT12B</t>
  </si>
  <si>
    <t>BAV16B</t>
  </si>
  <si>
    <t>BAV14B</t>
  </si>
  <si>
    <t>FOB12B</t>
  </si>
  <si>
    <t>FOB11B</t>
  </si>
  <si>
    <t>BAV11B</t>
  </si>
  <si>
    <t>BAV12B</t>
  </si>
  <si>
    <t>BAV13B</t>
  </si>
  <si>
    <t>SCHD01RV2</t>
  </si>
  <si>
    <t>SCHD01OV2</t>
  </si>
  <si>
    <t>SCHD01LV2</t>
  </si>
  <si>
    <t>SCWL01LV2</t>
  </si>
  <si>
    <t>SCHB01RV2</t>
  </si>
  <si>
    <t>SCHB01OV2</t>
  </si>
  <si>
    <t>SCHB01LV2</t>
  </si>
  <si>
    <t>SCHW01RV2</t>
  </si>
  <si>
    <t>SCHW01OV2</t>
  </si>
  <si>
    <t>SCHW01LV2</t>
  </si>
  <si>
    <t>SCBD01R</t>
  </si>
  <si>
    <t>SCBD01O</t>
  </si>
  <si>
    <t>SCBD01L</t>
  </si>
  <si>
    <t>SCBB02R</t>
  </si>
  <si>
    <t>SCBB02O</t>
  </si>
  <si>
    <t>SCBB02L</t>
  </si>
  <si>
    <t>SCBB01R</t>
  </si>
  <si>
    <t>SCBB01O</t>
  </si>
  <si>
    <t>SCBB01L</t>
  </si>
  <si>
    <t>SCBC02R</t>
  </si>
  <si>
    <t>SCBC02O</t>
  </si>
  <si>
    <t>SCBC02L</t>
  </si>
  <si>
    <t>SCBC01R</t>
  </si>
  <si>
    <t>SCBC01O</t>
  </si>
  <si>
    <t>SCBC01L</t>
  </si>
  <si>
    <t>SCBS01R</t>
  </si>
  <si>
    <t>SCBS01O</t>
  </si>
  <si>
    <t>SCBS01L</t>
  </si>
  <si>
    <t>SCSBO01R</t>
  </si>
  <si>
    <t>SCSBO01O</t>
  </si>
  <si>
    <t>SCSBO01L</t>
  </si>
  <si>
    <t>SCHBT01R</t>
  </si>
  <si>
    <t>SCHBT01O</t>
  </si>
  <si>
    <t>SCHBT01L</t>
  </si>
  <si>
    <t>SWVA01</t>
  </si>
  <si>
    <t>SWCH03</t>
  </si>
  <si>
    <t>SWCH02</t>
  </si>
  <si>
    <t>SWCH01</t>
  </si>
  <si>
    <t>SWCA02</t>
  </si>
  <si>
    <t>SWCA01</t>
  </si>
  <si>
    <t>SWBE01</t>
  </si>
  <si>
    <t>BLOCU02</t>
  </si>
  <si>
    <t>BLOCU01</t>
  </si>
  <si>
    <t>BLOCU03</t>
  </si>
  <si>
    <t>DACU01</t>
  </si>
  <si>
    <t>DATH01</t>
  </si>
  <si>
    <t>STITH01</t>
  </si>
  <si>
    <t>STICU02</t>
  </si>
  <si>
    <t>STICU01</t>
  </si>
  <si>
    <t>ABSCU01NA</t>
  </si>
  <si>
    <t>ABSCU01GR</t>
  </si>
  <si>
    <t>SOCU02BLU</t>
  </si>
  <si>
    <t>SOCU02KHA</t>
  </si>
  <si>
    <t>SOCU02WIN</t>
  </si>
  <si>
    <t>SOCU02PIN</t>
  </si>
  <si>
    <t>SOCU02OCH</t>
  </si>
  <si>
    <t>CVV04BL</t>
  </si>
  <si>
    <t>CVV03WH</t>
  </si>
  <si>
    <t>CVB01WH</t>
  </si>
  <si>
    <t>CVB01BL</t>
  </si>
  <si>
    <t>CVV02WH</t>
  </si>
  <si>
    <t>CVV02BL</t>
  </si>
  <si>
    <t>CVV01WH</t>
  </si>
  <si>
    <t>CVV01BL</t>
  </si>
  <si>
    <t>BLV01</t>
  </si>
  <si>
    <t>BLJ01</t>
  </si>
  <si>
    <t>BLB01</t>
  </si>
  <si>
    <t>BLVE01</t>
  </si>
  <si>
    <t>FMJ02SS</t>
  </si>
  <si>
    <t>FWC02SS</t>
  </si>
  <si>
    <t>FSB02SS</t>
  </si>
  <si>
    <t>FTC02SS</t>
  </si>
  <si>
    <t>FTP02SS</t>
  </si>
  <si>
    <t>FTR02SS</t>
  </si>
  <si>
    <t>BRWCF02SSV2</t>
  </si>
  <si>
    <t>BRWSC02SS</t>
  </si>
  <si>
    <t>BRWCD02SS</t>
  </si>
  <si>
    <t>BRWBT02SS</t>
  </si>
  <si>
    <t>BRWTR02SS</t>
  </si>
  <si>
    <t>BRWMP02SS</t>
  </si>
  <si>
    <t>BRWES02SS</t>
  </si>
  <si>
    <t>BRWST02SS</t>
  </si>
  <si>
    <t>ROSB01GR</t>
  </si>
  <si>
    <t>ROSB02GR</t>
  </si>
  <si>
    <t>ROSB03GR</t>
  </si>
  <si>
    <t>ROCH01GR</t>
  </si>
  <si>
    <t>RODU01GR</t>
  </si>
  <si>
    <t>ROCH02GR</t>
  </si>
  <si>
    <t>ROCH03GR</t>
  </si>
  <si>
    <t>FGS01SS</t>
  </si>
  <si>
    <t>TKJ01B</t>
  </si>
  <si>
    <t>TKC01</t>
  </si>
  <si>
    <t>BRWTR01</t>
  </si>
  <si>
    <t>SCDR01OIL</t>
  </si>
  <si>
    <t>SCDR01ALLOY</t>
  </si>
  <si>
    <t>SCDR02W</t>
  </si>
  <si>
    <t>SCDR02F</t>
  </si>
  <si>
    <t>SCDR02E</t>
  </si>
  <si>
    <t>SCDR02A</t>
  </si>
  <si>
    <t>SCR01R</t>
  </si>
  <si>
    <t>SCR01O</t>
  </si>
  <si>
    <t>BPVS01</t>
  </si>
  <si>
    <t>BPVT01</t>
  </si>
  <si>
    <t>BPVC01</t>
  </si>
  <si>
    <t>SCR01L</t>
  </si>
  <si>
    <t>PMTR01</t>
  </si>
  <si>
    <t>PMGS02</t>
  </si>
  <si>
    <t>PMMM02</t>
  </si>
  <si>
    <t>PMMG02</t>
  </si>
  <si>
    <t>PMCS01</t>
  </si>
  <si>
    <t>TKT06B</t>
  </si>
  <si>
    <t>TKT04B</t>
  </si>
  <si>
    <t>TKWD01B</t>
  </si>
  <si>
    <t>TKT01B</t>
  </si>
  <si>
    <t>TKT02B</t>
  </si>
  <si>
    <t>TKC01B</t>
  </si>
  <si>
    <t>TKT03B</t>
  </si>
  <si>
    <t>TKT05B</t>
  </si>
  <si>
    <t>PMTN01</t>
  </si>
  <si>
    <t>BRWBT01</t>
  </si>
  <si>
    <t>BRWSC01</t>
  </si>
  <si>
    <t>BRWCD01</t>
  </si>
  <si>
    <t>BPTP01</t>
  </si>
  <si>
    <t>BPTC01</t>
  </si>
  <si>
    <t>BPTG01</t>
  </si>
  <si>
    <t>BPSG01</t>
  </si>
  <si>
    <t>BPJ01</t>
  </si>
  <si>
    <t>CUPEN01</t>
  </si>
  <si>
    <t>CUSH01</t>
  </si>
  <si>
    <t>CUST01</t>
  </si>
  <si>
    <t>TOBM05B</t>
  </si>
  <si>
    <t>TOBM01B</t>
  </si>
  <si>
    <t>TOBM02B</t>
  </si>
  <si>
    <t>STCB01</t>
  </si>
  <si>
    <t>STCB02</t>
  </si>
  <si>
    <t>STM03</t>
  </si>
  <si>
    <t>STSG01</t>
  </si>
  <si>
    <t>TKT05</t>
  </si>
  <si>
    <t>TKT06</t>
  </si>
  <si>
    <t>TKWD01</t>
  </si>
  <si>
    <t>TKJ01</t>
  </si>
  <si>
    <t>TKT04</t>
  </si>
  <si>
    <t>TKT03</t>
  </si>
  <si>
    <t>TKT02</t>
  </si>
  <si>
    <t>TKT01</t>
  </si>
  <si>
    <t>PMWC02</t>
  </si>
  <si>
    <t>PMIB01</t>
  </si>
  <si>
    <t>BRWMP01</t>
  </si>
  <si>
    <t>BRWES01</t>
  </si>
  <si>
    <t>BRWST01</t>
  </si>
  <si>
    <t>BRWCF01</t>
  </si>
  <si>
    <t>TOT03S</t>
  </si>
  <si>
    <t>TOT02S</t>
  </si>
  <si>
    <t>TOT01S</t>
  </si>
  <si>
    <t>FTR01BR</t>
  </si>
  <si>
    <t>FTP01</t>
  </si>
  <si>
    <t>FSB01BR</t>
  </si>
  <si>
    <t>FMJ01BR</t>
  </si>
  <si>
    <t>FWC01BR</t>
  </si>
  <si>
    <t>SPT02</t>
  </si>
  <si>
    <t>STT04B</t>
  </si>
  <si>
    <t>TKBQ02</t>
  </si>
  <si>
    <t>TKSP01</t>
  </si>
  <si>
    <t>TKST01</t>
  </si>
  <si>
    <t>ETT02S</t>
  </si>
  <si>
    <t>ETT02C</t>
  </si>
  <si>
    <t>ETT02B</t>
  </si>
  <si>
    <t>ETC02BLK</t>
  </si>
  <si>
    <t>BOB02B</t>
  </si>
  <si>
    <t>BOB01B</t>
  </si>
  <si>
    <t>BOB03B</t>
  </si>
  <si>
    <t>BRV03B</t>
  </si>
  <si>
    <t>BRV01B</t>
  </si>
  <si>
    <t>BRV02B</t>
  </si>
  <si>
    <t>SCHW01R</t>
  </si>
  <si>
    <t>SCHD01R</t>
  </si>
  <si>
    <t>SCHB01R</t>
  </si>
  <si>
    <t>SCHW01O</t>
  </si>
  <si>
    <t>SCHD01O</t>
  </si>
  <si>
    <t>SCHB01O</t>
  </si>
  <si>
    <t>SCWL01L</t>
  </si>
  <si>
    <t>SCHW01L</t>
  </si>
  <si>
    <t>SCHD01L</t>
  </si>
  <si>
    <t>SCHB01L</t>
  </si>
  <si>
    <t>SC05GS</t>
  </si>
  <si>
    <t>SCD01W</t>
  </si>
  <si>
    <t>SC05WA</t>
  </si>
  <si>
    <t>SC06WA</t>
  </si>
  <si>
    <t>SCD01E</t>
  </si>
  <si>
    <t>SC05E</t>
  </si>
  <si>
    <t>SC06E</t>
  </si>
  <si>
    <t>SCD01A</t>
  </si>
  <si>
    <t>SC05A</t>
  </si>
  <si>
    <t>SC06A</t>
  </si>
  <si>
    <t>SCD01Q</t>
  </si>
  <si>
    <t>SCD01OIL</t>
  </si>
  <si>
    <t>SCE04GS</t>
  </si>
  <si>
    <t>SRR02BLWH</t>
  </si>
  <si>
    <t>SRR01BLWH</t>
  </si>
  <si>
    <t>SCE05R</t>
  </si>
  <si>
    <t>SCE05O</t>
  </si>
  <si>
    <t>SCD03L</t>
  </si>
  <si>
    <t>SCE05L</t>
  </si>
  <si>
    <t>SCD03O</t>
  </si>
  <si>
    <t>SCD03R</t>
  </si>
  <si>
    <t>SCE04O</t>
  </si>
  <si>
    <t>SCE04R</t>
  </si>
  <si>
    <t>SCE04L</t>
  </si>
  <si>
    <t>SCGS03S</t>
  </si>
  <si>
    <t>SCGS02MAT</t>
  </si>
  <si>
    <t>SC02CO</t>
  </si>
  <si>
    <t>SC01CO</t>
  </si>
  <si>
    <t>SOCU01WIN</t>
  </si>
  <si>
    <t>SPT03</t>
  </si>
  <si>
    <t>EAN</t>
  </si>
  <si>
    <t>Pack Quantity</t>
  </si>
  <si>
    <t>Accessories</t>
  </si>
  <si>
    <t>Upholstery</t>
  </si>
  <si>
    <t>BIRDCH01-A</t>
  </si>
  <si>
    <t>Bird Chaise - Category A</t>
  </si>
  <si>
    <t>BIRDCH01-B</t>
  </si>
  <si>
    <t>Bird Chaise - Category B</t>
  </si>
  <si>
    <t>BIRDCH01-C</t>
  </si>
  <si>
    <t>Bird Chaise - Category C</t>
  </si>
  <si>
    <t>BIRDCH01-D</t>
  </si>
  <si>
    <t>Bird Chaise - Category D</t>
  </si>
  <si>
    <t>BIRDCH01COL</t>
  </si>
  <si>
    <t>Bird Chaise - COL</t>
  </si>
  <si>
    <t>BIRDCH01COM</t>
  </si>
  <si>
    <t>Bird Chaise - COM</t>
  </si>
  <si>
    <t>S-CHAIR01-A</t>
  </si>
  <si>
    <t>S Chair - Category A</t>
  </si>
  <si>
    <t>S-CHAIR01-B</t>
  </si>
  <si>
    <t>S Chair - Category B</t>
  </si>
  <si>
    <t>S-CHAIR01-C</t>
  </si>
  <si>
    <t>S Chair - Category C</t>
  </si>
  <si>
    <t>S-CHAIR01-D</t>
  </si>
  <si>
    <t>S Chair - Category D</t>
  </si>
  <si>
    <t>S-CHAIR01COL</t>
  </si>
  <si>
    <t>S Chair - COL</t>
  </si>
  <si>
    <t>S-CHAIR01COM</t>
  </si>
  <si>
    <t>S Chair - COM</t>
  </si>
  <si>
    <t>SCH02BLA</t>
  </si>
  <si>
    <t>Scoop Chair High - Black Legs - Category A</t>
  </si>
  <si>
    <t>SCH02BLB</t>
  </si>
  <si>
    <t>Scoop Chair High - Black Legs - Category B</t>
  </si>
  <si>
    <t>SCH02BLC</t>
  </si>
  <si>
    <t>Scoop Chair High - Black Legs - Category C</t>
  </si>
  <si>
    <t>SCH02BLD</t>
  </si>
  <si>
    <t>Scoop Chair High - Black Legs - Category D</t>
  </si>
  <si>
    <t>SCH02BLCOM</t>
  </si>
  <si>
    <t>Scoop Chair High - Black Legs - COL</t>
  </si>
  <si>
    <t>SCH02BLCOL</t>
  </si>
  <si>
    <t>Scoop Chair High - Black Legs - COM</t>
  </si>
  <si>
    <t>SCH02CA</t>
  </si>
  <si>
    <t>Scoop Chair High - Copper Legs - Category A</t>
  </si>
  <si>
    <t>SCH02CB</t>
  </si>
  <si>
    <t>Scoop Chair High - Copper Legs - Category B</t>
  </si>
  <si>
    <t>SCH02CC</t>
  </si>
  <si>
    <t>Scoop Chair High - Copper Legs - Category C</t>
  </si>
  <si>
    <t>SCH02CD</t>
  </si>
  <si>
    <t>Scoop Chair High - Copper Legs - Category D</t>
  </si>
  <si>
    <t>SCH02COLC</t>
  </si>
  <si>
    <t>Scoop Chair High - Copper Legs - COL</t>
  </si>
  <si>
    <t>SCH02COMC</t>
  </si>
  <si>
    <t>Scoop Chair High - Copper Legs - COM</t>
  </si>
  <si>
    <t>SCH02CHA</t>
  </si>
  <si>
    <t>Scoop Chair High - Chrome Legs - Category A</t>
  </si>
  <si>
    <t>SCH02CHB</t>
  </si>
  <si>
    <t>Scoop Chair High - Chrome Legs - Category B</t>
  </si>
  <si>
    <t>SCH02CHC</t>
  </si>
  <si>
    <t>Scoop Chair High - Chrome Legs - Category C</t>
  </si>
  <si>
    <t>SCH02CHD</t>
  </si>
  <si>
    <t>Scoop Chair High - Chrome Legs - Category D</t>
  </si>
  <si>
    <t>SCH02COLCH</t>
  </si>
  <si>
    <t>Scoop Chair High - Chrome Legs - COL</t>
  </si>
  <si>
    <t>SCH02COMCH</t>
  </si>
  <si>
    <t>Scoop Chair High - Chrome Legs - COM</t>
  </si>
  <si>
    <t>SCH02BRA</t>
  </si>
  <si>
    <t>Scoop Chair High - Brass Legs - Category A</t>
  </si>
  <si>
    <t>SCH02BRB</t>
  </si>
  <si>
    <t>Scoop Chair High - Brass Legs - Category B</t>
  </si>
  <si>
    <t>SCH02BRC</t>
  </si>
  <si>
    <t>Scoop Chair High - Brass Legs - Category C</t>
  </si>
  <si>
    <t>SCH02BRD</t>
  </si>
  <si>
    <t>Scoop Chair High - Brass Legs - Category D</t>
  </si>
  <si>
    <t>SCH02COLBR</t>
  </si>
  <si>
    <t>Scoop Chair High - Brass Legs - COL</t>
  </si>
  <si>
    <t>SCH02COMBR</t>
  </si>
  <si>
    <t>Scoop Chair High - Brass Legs - COM</t>
  </si>
  <si>
    <t>SCH02NAA</t>
  </si>
  <si>
    <t>Scoop Chair High - Natural Legs - Category A</t>
  </si>
  <si>
    <t>SCH02NAB</t>
  </si>
  <si>
    <t>Scoop Chair High - Natural Legs - Category B</t>
  </si>
  <si>
    <t>SCH02NAC</t>
  </si>
  <si>
    <t>Scoop Chair High - Natural Legs - Category C</t>
  </si>
  <si>
    <t>SCH02NAD</t>
  </si>
  <si>
    <t>Scoop Chair High - Natural Legs - Category D</t>
  </si>
  <si>
    <t>SCH02NACOL</t>
  </si>
  <si>
    <t>Scoop Chair High - Natural Legs - COL</t>
  </si>
  <si>
    <t>SCH02NACOM</t>
  </si>
  <si>
    <t>Scoop Chair High - Natural Legs - COM</t>
  </si>
  <si>
    <t>SCL02BLA</t>
  </si>
  <si>
    <t>Scoop Chair Low - Black Legs - Category A</t>
  </si>
  <si>
    <t>SCL02BLB</t>
  </si>
  <si>
    <t>Scoop Chair Low - Black Legs - Category B</t>
  </si>
  <si>
    <t>SCL02BLC</t>
  </si>
  <si>
    <t>Scoop Chair Low - Black Legs - Category C</t>
  </si>
  <si>
    <t>SCL02BLD</t>
  </si>
  <si>
    <t>Scoop Chair Low - Black Legs - Category D</t>
  </si>
  <si>
    <t>SCL02BLCOM</t>
  </si>
  <si>
    <t>Scoop Chair Low - Black Legs - COL</t>
  </si>
  <si>
    <t>SCL02BLCOL</t>
  </si>
  <si>
    <t>Scoop Chair Low - Black Legs - COM</t>
  </si>
  <si>
    <t>SCL02NAA</t>
  </si>
  <si>
    <t>Scoop Chair Low - Natural Legs - Category A</t>
  </si>
  <si>
    <t>SCL02NAB</t>
  </si>
  <si>
    <t>Scoop Chair Low - Natural Legs - Category B</t>
  </si>
  <si>
    <t>SCL02NAC</t>
  </si>
  <si>
    <t>Scoop Chair Low - Natural Legs - Category C</t>
  </si>
  <si>
    <t>SCL02NAD</t>
  </si>
  <si>
    <t>Scoop Chair Low - Natural Legs - Category D</t>
  </si>
  <si>
    <t>SCL02NACOM</t>
  </si>
  <si>
    <t>Scoop Chair Low - Natural Legs - COM</t>
  </si>
  <si>
    <t>SCL02NACOL</t>
  </si>
  <si>
    <t>Scoop Chair Low - Natural Legs - COL</t>
  </si>
  <si>
    <t>SCL02CHA</t>
  </si>
  <si>
    <t>Scoop Chair Low - Chrome Legs - Category A</t>
  </si>
  <si>
    <t>SCL02CHB</t>
  </si>
  <si>
    <t>Scoop Chair Low - Chrome Legs - Category B</t>
  </si>
  <si>
    <t>SCL02CHC</t>
  </si>
  <si>
    <t>Scoop Chair Low - Chrome Legs - Category C</t>
  </si>
  <si>
    <t>SCL02CHD</t>
  </si>
  <si>
    <t>Scoop Chair Low - Chrome Legs - Category D</t>
  </si>
  <si>
    <t>SCL02CHCOM</t>
  </si>
  <si>
    <t>Scoop Chair Low - COL</t>
  </si>
  <si>
    <t>SCL02CHCOL</t>
  </si>
  <si>
    <t>Scoop Chair Low - COM</t>
  </si>
  <si>
    <t>SCL02CA</t>
  </si>
  <si>
    <t>Scoop Chair Low - Copper Legs - Category A</t>
  </si>
  <si>
    <t>SCL02CB</t>
  </si>
  <si>
    <t>Scoop Chair Low - Copper Legs - Category B</t>
  </si>
  <si>
    <t>SCL02CC</t>
  </si>
  <si>
    <t>Scoop Chair Low - Copper Legs - Category C</t>
  </si>
  <si>
    <t>SCL02CD</t>
  </si>
  <si>
    <t>Scoop Chair Low - Copper Legs - Category D</t>
  </si>
  <si>
    <t>SCL02COMC</t>
  </si>
  <si>
    <t>SCL02COLC</t>
  </si>
  <si>
    <t>SCL02BRA</t>
  </si>
  <si>
    <t>Scoop Chair Low - Brass Legs - Category A</t>
  </si>
  <si>
    <t>SCL02BRB</t>
  </si>
  <si>
    <t>Scoop Chair Low - Brass Legs - Category B</t>
  </si>
  <si>
    <t>SCL02BRC</t>
  </si>
  <si>
    <t>Scoop Chair Low - Brass Legs - Category C</t>
  </si>
  <si>
    <t>SCL02BRD</t>
  </si>
  <si>
    <t>Scoop Chair Low - Brass Legs - Category D</t>
  </si>
  <si>
    <t>SCL02BRCOM</t>
  </si>
  <si>
    <t>SCL02BRCOL</t>
  </si>
  <si>
    <t>SLANTS01BL-A</t>
  </si>
  <si>
    <t>Slant Stool - Category A</t>
  </si>
  <si>
    <t>SLANTS01BL-B</t>
  </si>
  <si>
    <t>Slant Stool - Category B</t>
  </si>
  <si>
    <t>SLANTS01BL-C</t>
  </si>
  <si>
    <t>Slant Stool - Category C</t>
  </si>
  <si>
    <t>SLANTS01BL- D</t>
  </si>
  <si>
    <t>Slant Stool - Category D</t>
  </si>
  <si>
    <t>SLANTS01COMBL</t>
  </si>
  <si>
    <t>Slant Stool - COM</t>
  </si>
  <si>
    <t>WBC04BLA</t>
  </si>
  <si>
    <t>Wingback Chair - Black Legs - Category A</t>
  </si>
  <si>
    <t>WBC04BLB</t>
  </si>
  <si>
    <t>Wingback Chair - Black Legs - Category B</t>
  </si>
  <si>
    <t>WBC04BLC</t>
  </si>
  <si>
    <t>Wingback Chair - Black Legs - Category C</t>
  </si>
  <si>
    <t>WBC04BLD</t>
  </si>
  <si>
    <t>Wingback Chair - Black Legs - Category D</t>
  </si>
  <si>
    <t>WBC04COMBL</t>
  </si>
  <si>
    <t>Wingback Chair - COM</t>
  </si>
  <si>
    <t>WBC04COLBL</t>
  </si>
  <si>
    <t>Wingback Chair - COL</t>
  </si>
  <si>
    <t>WBC04NAA</t>
  </si>
  <si>
    <t>Wingback Chair - Natural Legs - Category A</t>
  </si>
  <si>
    <t>WBC04NAB</t>
  </si>
  <si>
    <t>Wingback Chair - Natural Legs - Category B</t>
  </si>
  <si>
    <t>WBC04NAC</t>
  </si>
  <si>
    <t>Wingback Chair - Natural Legs - Category C</t>
  </si>
  <si>
    <t>WBC04NAD</t>
  </si>
  <si>
    <t>Wingback Chair - Natural Legs - Category D</t>
  </si>
  <si>
    <t>WBC04COMNA</t>
  </si>
  <si>
    <t>WBC04COLNA</t>
  </si>
  <si>
    <t>WBC04CA</t>
  </si>
  <si>
    <t>Wingback Chair - Copper Legs - Category A</t>
  </si>
  <si>
    <t>WBC04CB</t>
  </si>
  <si>
    <t>Wingback Chair - Copper Legs - Category B</t>
  </si>
  <si>
    <t>WBC04CC</t>
  </si>
  <si>
    <t>Wingback Chair - Copper Legs - Category C</t>
  </si>
  <si>
    <t>WBC04CD</t>
  </si>
  <si>
    <t>Wingback Chair - Copper Legs - Category D</t>
  </si>
  <si>
    <t>WBC04COMC</t>
  </si>
  <si>
    <t>WBC04COLC</t>
  </si>
  <si>
    <t>WBC04CHA</t>
  </si>
  <si>
    <t>Wingback Chair - Chrome Legs - Category A</t>
  </si>
  <si>
    <t>WBC04CHB</t>
  </si>
  <si>
    <t>Wingback Chair - Chrome Legs - Category B</t>
  </si>
  <si>
    <t>WBC04CHC</t>
  </si>
  <si>
    <t>Wingback Chair - Chrome Legs - Category C</t>
  </si>
  <si>
    <t>WBC04CHD</t>
  </si>
  <si>
    <t>Wingback Chair - Chrome Legs - Category D</t>
  </si>
  <si>
    <t>WBC04COMCH</t>
  </si>
  <si>
    <t>WBC04COLCH</t>
  </si>
  <si>
    <t>WBC04BRA</t>
  </si>
  <si>
    <t>Wingback Chair - Brass Legs - Category A</t>
  </si>
  <si>
    <t>WBC04BRB</t>
  </si>
  <si>
    <t>Wingback Chair - Brass Legs - Category B</t>
  </si>
  <si>
    <t>WBC04BRC</t>
  </si>
  <si>
    <t>Wingback Chair - Brass Legs - Category C</t>
  </si>
  <si>
    <t>WBC04BRD</t>
  </si>
  <si>
    <t>Wingback Chair - Brass Legs - Category D</t>
  </si>
  <si>
    <t>WBC04COMBR</t>
  </si>
  <si>
    <t>WBC04COLBR</t>
  </si>
  <si>
    <t xml:space="preserve">WBC05NAA </t>
  </si>
  <si>
    <t>Wingback Micro Chair - Natural Legs - Category A</t>
  </si>
  <si>
    <t>WBC05NAB</t>
  </si>
  <si>
    <t>Wingback Micro Chair - Natural Legs - Category B</t>
  </si>
  <si>
    <t>WBC05NAC</t>
  </si>
  <si>
    <t>Wingback Micro Chair - Natural Legs - Category C</t>
  </si>
  <si>
    <t>WBC05NAD</t>
  </si>
  <si>
    <t>Wingback Micro Chair - Natural Legs - Category D</t>
  </si>
  <si>
    <t>WBC05COMNA</t>
  </si>
  <si>
    <t>Wingback Micro Chair - COM</t>
  </si>
  <si>
    <t>WBC05COLNA</t>
  </si>
  <si>
    <t>Wingback Micro Chair - COL</t>
  </si>
  <si>
    <t xml:space="preserve">WBC05BLA </t>
  </si>
  <si>
    <t>Wingback Micro Chair - Black Legs - Category A</t>
  </si>
  <si>
    <t>WBC05BLB</t>
  </si>
  <si>
    <t>Wingback Micro Chair - Black Legs - Category B</t>
  </si>
  <si>
    <t>WBC05BLC</t>
  </si>
  <si>
    <t>Wingback Micro Chair - Black Legs - Category C</t>
  </si>
  <si>
    <t>WBC05BLD</t>
  </si>
  <si>
    <t>Wingback Micro Chair - Black Legs - Category D</t>
  </si>
  <si>
    <t>WBC05COMBL</t>
  </si>
  <si>
    <t>WBC05COLBL</t>
  </si>
  <si>
    <t xml:space="preserve">WBC05CA </t>
  </si>
  <si>
    <t>Wingback Micro Chair - Copper Legs - Category A</t>
  </si>
  <si>
    <t>WBC05CB</t>
  </si>
  <si>
    <t>Wingback Micro Chair - Copper Legs - Category B</t>
  </si>
  <si>
    <t>WBC05CC</t>
  </si>
  <si>
    <t>Wingback Micro Chair - Copper Legs - Category C</t>
  </si>
  <si>
    <t>WBC05CD</t>
  </si>
  <si>
    <t>Wingback Micro Chair - Copper Legs - Category D</t>
  </si>
  <si>
    <t>WBC05COMC</t>
  </si>
  <si>
    <t>WBC05COLC</t>
  </si>
  <si>
    <t xml:space="preserve">WBC05BRA </t>
  </si>
  <si>
    <t>Wingback Micro Chair - Brass Legs - Category A</t>
  </si>
  <si>
    <t>WBC05BRB</t>
  </si>
  <si>
    <t>Wingback Micro Chair - Brass Legs - Category B</t>
  </si>
  <si>
    <t>WBC05BRC</t>
  </si>
  <si>
    <t>Wingback Micro Chair - Brass Legs - Category C</t>
  </si>
  <si>
    <t>WBC05BRD</t>
  </si>
  <si>
    <t>Wingback Micro Chair - Brass Legs - Category D</t>
  </si>
  <si>
    <t>WBC05COMBR</t>
  </si>
  <si>
    <t>WBC05COLBR</t>
  </si>
  <si>
    <t xml:space="preserve">WBC05CHA </t>
  </si>
  <si>
    <t>Wingback Micro Chair - Chrome Legs - Category A</t>
  </si>
  <si>
    <t>WBC05CHB</t>
  </si>
  <si>
    <t>Wingback Micro Chair - Chrome Legs - Category B</t>
  </si>
  <si>
    <t>WBC05CHC</t>
  </si>
  <si>
    <t>Wingback Micro Chair - Chrome Legs - Category C</t>
  </si>
  <si>
    <t>WBC05CHD</t>
  </si>
  <si>
    <t>Wingback Micro Chair - Chrome Legs - Category D</t>
  </si>
  <si>
    <t>WBC05COMCH</t>
  </si>
  <si>
    <t>WBC05COLCH</t>
  </si>
  <si>
    <t>WBL01BLA</t>
  </si>
  <si>
    <t>Wingback Long Ottoman - Black Legs - Category A</t>
  </si>
  <si>
    <t>WBL01BLB</t>
  </si>
  <si>
    <t>Wingback Long Ottoman - Black Legs - Category B</t>
  </si>
  <si>
    <t>WBL01BLC</t>
  </si>
  <si>
    <t>Wingback Long Ottoman - Black Legs - Category C</t>
  </si>
  <si>
    <t>WBL01COMBL</t>
  </si>
  <si>
    <t>Wingback Long Ottoman - COM</t>
  </si>
  <si>
    <t>WBL01NAA</t>
  </si>
  <si>
    <t>Wingback Long Ottoman - Natural Legs - Category A</t>
  </si>
  <si>
    <t>WBL01NAB</t>
  </si>
  <si>
    <t>Wingback Long Ottoman - Natural Legs - Category B</t>
  </si>
  <si>
    <t>WBL01NAC</t>
  </si>
  <si>
    <t>Wingback Long Ottoman - Natural Legs - Category C</t>
  </si>
  <si>
    <t>WBL01COMNA</t>
  </si>
  <si>
    <t>WBL01CA</t>
  </si>
  <si>
    <t>Wingback Long Ottoman - Copper Legs - Category A</t>
  </si>
  <si>
    <t>WBL01CB</t>
  </si>
  <si>
    <t>Wingback Long Ottoman - Copper Legs - Category B</t>
  </si>
  <si>
    <t>WBL01CC</t>
  </si>
  <si>
    <t>Wingback Long Ottoman - Copper Legs - Category C</t>
  </si>
  <si>
    <t>WBL01COMC</t>
  </si>
  <si>
    <t>WBL01CHA</t>
  </si>
  <si>
    <t>Wingback Long Ottoman - Chrome Legs - Category A</t>
  </si>
  <si>
    <t>WBL01CHB</t>
  </si>
  <si>
    <t>Wingback Long Ottoman - Chrome Legs - Category B</t>
  </si>
  <si>
    <t>WBL01CHC</t>
  </si>
  <si>
    <t>Wingback Long Ottoman - Chrome Legs - Category C</t>
  </si>
  <si>
    <t>WBL01COMCH</t>
  </si>
  <si>
    <t>WBL01BRA</t>
  </si>
  <si>
    <t>Wingback Long Ottoman - Brass Legs - Category A</t>
  </si>
  <si>
    <t>WBL01BRB</t>
  </si>
  <si>
    <t>Wingback Long Ottoman - Brass Legs - Category B</t>
  </si>
  <si>
    <t>WBL01BRC</t>
  </si>
  <si>
    <t>Wingback Long Ottoman - Brass Legs - Category C</t>
  </si>
  <si>
    <t>WBL01COMBR</t>
  </si>
  <si>
    <t>WBO01BLA</t>
  </si>
  <si>
    <t>Wingback Ottoman - Black Legs - Category A</t>
  </si>
  <si>
    <t>WBO01BLB</t>
  </si>
  <si>
    <t>Wingback Ottoman - Black Legs - Category B</t>
  </si>
  <si>
    <t>WBO01BLC</t>
  </si>
  <si>
    <t>Wingback Ottoman - Black Legs - Category C</t>
  </si>
  <si>
    <t>WBO01BLD</t>
  </si>
  <si>
    <t>Wingback Ottoman - Black Legs - Category D</t>
  </si>
  <si>
    <t>WBO01COMBL</t>
  </si>
  <si>
    <t>Wingback Ottoman - Black Legs - COM</t>
  </si>
  <si>
    <t>WBO01COLBL</t>
  </si>
  <si>
    <t>Wingback Ottoman - Black Legs - COL</t>
  </si>
  <si>
    <t>WBO01BRA</t>
  </si>
  <si>
    <t>Wingback Ottoman - Brass Legs - Category A</t>
  </si>
  <si>
    <t>WBO01BRB</t>
  </si>
  <si>
    <t>Wingback Ottoman - Brass Legs - Category B</t>
  </si>
  <si>
    <t>WBO01BRC</t>
  </si>
  <si>
    <t>Wingback Ottoman - Brass Legs - Category C</t>
  </si>
  <si>
    <t>WBO01BRD</t>
  </si>
  <si>
    <t>Wingback Ottoman - Brass Legs - Category D</t>
  </si>
  <si>
    <t>WBO01COMBR</t>
  </si>
  <si>
    <t>Wingback Ottoman - Brass Legs - COM</t>
  </si>
  <si>
    <t>WBO01COLBR</t>
  </si>
  <si>
    <t>WBO01CA</t>
  </si>
  <si>
    <t>Wingback Ottoman - Copper Legs - Category A</t>
  </si>
  <si>
    <t>WBO01CB</t>
  </si>
  <si>
    <t>Wingback Ottoman - Copper Legs - Category B</t>
  </si>
  <si>
    <t>WBO01CC</t>
  </si>
  <si>
    <t>Wingback Ottoman - Copper Legs - Category C</t>
  </si>
  <si>
    <t>WBO01CD</t>
  </si>
  <si>
    <t>Wingback Ottoman - Copper Legs - Category D</t>
  </si>
  <si>
    <t>WBO01COMC</t>
  </si>
  <si>
    <t>Wingback Ottoman - Copper Legs - COM</t>
  </si>
  <si>
    <t>WBO01COLC</t>
  </si>
  <si>
    <t>Wingback Ottoman - Copper Legs - COL</t>
  </si>
  <si>
    <t>WBO01CHA</t>
  </si>
  <si>
    <t>Wingback Ottoman - Chrome Legs - Category A</t>
  </si>
  <si>
    <t>WBO01CHB</t>
  </si>
  <si>
    <t>Wingback Ottoman - Chrome Legs - Category B</t>
  </si>
  <si>
    <t>WBO01CHC</t>
  </si>
  <si>
    <t>Wingback Ottoman - Chrome Legs - Category C</t>
  </si>
  <si>
    <t>WBO01CHD</t>
  </si>
  <si>
    <t>Wingback Ottoman - Chrome Legs - Category D</t>
  </si>
  <si>
    <t>WBO01COMCH</t>
  </si>
  <si>
    <t>Wingback Ottoman - Chrome Legs - COM</t>
  </si>
  <si>
    <t>WBO01COLCH</t>
  </si>
  <si>
    <t>Wingback Ottoman - Chrome Legs - COL</t>
  </si>
  <si>
    <t>Wingback Sofa - Black Legs - COL</t>
  </si>
  <si>
    <t>WBS04BLA</t>
  </si>
  <si>
    <t>Wingback Sofa - Black Legs - Category A</t>
  </si>
  <si>
    <t>WBS04BLB</t>
  </si>
  <si>
    <t>Wingback Sofa - Black Legs - Category B</t>
  </si>
  <si>
    <t>WBS04BLC</t>
  </si>
  <si>
    <t>Wingback Sofa - Black Legs - Category C</t>
  </si>
  <si>
    <t>WBS04COMBL</t>
  </si>
  <si>
    <t>Wingback Sofa - Black Legs - COM</t>
  </si>
  <si>
    <t>WBS04NAA</t>
  </si>
  <si>
    <t>Wingback Sofa - Natural Legs - Category A</t>
  </si>
  <si>
    <t>WBS04NAB</t>
  </si>
  <si>
    <t>Wingback Sofa - Natural Legs - Category B</t>
  </si>
  <si>
    <t>WBS04NAC</t>
  </si>
  <si>
    <t>Wingback Sofa - Natural Legs - Category C</t>
  </si>
  <si>
    <t>WBS04COMNA</t>
  </si>
  <si>
    <t>Wingback Sofa - Natural Legs - COM</t>
  </si>
  <si>
    <t>WBS04CA</t>
  </si>
  <si>
    <t>Wingback Micro Sofa - Copper Legs - Category A</t>
  </si>
  <si>
    <t>WBS04CB</t>
  </si>
  <si>
    <t>Wingback Micro Sofa - Copper Legs - Category B</t>
  </si>
  <si>
    <t>WBS04CC</t>
  </si>
  <si>
    <t>Wingback Micro Sofa - Copper Legs - Category C</t>
  </si>
  <si>
    <t>WBS04COMC</t>
  </si>
  <si>
    <t>Wingback Micro Sofa - Copper Legs - COM</t>
  </si>
  <si>
    <t>WBS04CHA</t>
  </si>
  <si>
    <t>Wingback Sofa - Chrome Legs - Category A</t>
  </si>
  <si>
    <t>WBS04CHB</t>
  </si>
  <si>
    <t>Wingback Sofa - Chrome Legs - Category B</t>
  </si>
  <si>
    <t>WBS04CHC</t>
  </si>
  <si>
    <t>Wingback Sofa - Chrome Legs - Category C</t>
  </si>
  <si>
    <t>WBS04COMCH</t>
  </si>
  <si>
    <t>Wingback Sofa - Chrome Legs - COM</t>
  </si>
  <si>
    <t>WBS04BRA</t>
  </si>
  <si>
    <t>Wingback Sofa - Brass Legs - Category A</t>
  </si>
  <si>
    <t>WBS04BRB</t>
  </si>
  <si>
    <t>Wingback Sofa - Brass Legs - Category B</t>
  </si>
  <si>
    <t>WBS04BRC</t>
  </si>
  <si>
    <t>Wingback Sofa - Brass Legs - Category C</t>
  </si>
  <si>
    <t>WBS04COMBR</t>
  </si>
  <si>
    <t>Wingback Sofa - Brass Legs - COM</t>
  </si>
  <si>
    <t xml:space="preserve">WBS05NAA </t>
  </si>
  <si>
    <t>Wingback Micro Sofa - Natural Legs - Category A</t>
  </si>
  <si>
    <t>WBS05NAB</t>
  </si>
  <si>
    <t>Wingback Micro Sofa - Natural Legs - Category B</t>
  </si>
  <si>
    <t>WBS05NAC</t>
  </si>
  <si>
    <t>Wingback Micro Sofa - Natural Legs - Category C</t>
  </si>
  <si>
    <t>WBS05NAD</t>
  </si>
  <si>
    <t>Wingback Micro Sofa - Natural Legs - Category D</t>
  </si>
  <si>
    <t>WBS05COMNA</t>
  </si>
  <si>
    <t>Wingback Micro Sofa - Natural Legs - COM</t>
  </si>
  <si>
    <t>WBS05COLNA</t>
  </si>
  <si>
    <t>Wingback Micro Sofa - Natural Legs - COL</t>
  </si>
  <si>
    <t xml:space="preserve">WBS05BLA </t>
  </si>
  <si>
    <t>Wingback Micro Sofa - Black Legs - Category A</t>
  </si>
  <si>
    <t>WBS05BLB</t>
  </si>
  <si>
    <t>Wingback Micro Sofa - Black Legs - Category B</t>
  </si>
  <si>
    <t>WBS05BLC</t>
  </si>
  <si>
    <t>Wingback Micro Sofa - Black Legs - Category C</t>
  </si>
  <si>
    <t>WBS05BLD</t>
  </si>
  <si>
    <t>Wingback Micro Sofa - Black Legs - Category D</t>
  </si>
  <si>
    <t>WBS05COMBL</t>
  </si>
  <si>
    <t>Wingback Micro Sofa - Black Legs - COM</t>
  </si>
  <si>
    <t>WBS05COLBL</t>
  </si>
  <si>
    <t>Wingback Micro Sofa - Black Legs - COL</t>
  </si>
  <si>
    <t xml:space="preserve">WBS05CA </t>
  </si>
  <si>
    <t>WBS05CB</t>
  </si>
  <si>
    <t>WBS05CC</t>
  </si>
  <si>
    <t>WBS05CD</t>
  </si>
  <si>
    <t>Wingback Micro Sofa - Copper Legs - Category D</t>
  </si>
  <si>
    <t>WBS05COMC</t>
  </si>
  <si>
    <t>WBS05COLC</t>
  </si>
  <si>
    <t>Wingback Micro Sofa - Copper Legs - COL</t>
  </si>
  <si>
    <t xml:space="preserve">WBS05CHA </t>
  </si>
  <si>
    <t>Wingback Micro Sofa - Chrome Legs - Category A</t>
  </si>
  <si>
    <t>WBS05CHB</t>
  </si>
  <si>
    <t>Wingback Micro Sofa - Chrome Legs - Category B</t>
  </si>
  <si>
    <t>WBS05CHC</t>
  </si>
  <si>
    <t>Wingback Micro Sofa - Chrome Legs - Category C</t>
  </si>
  <si>
    <t>WBS05CHD</t>
  </si>
  <si>
    <t>Wingback Micro Sofa - Chrome Legs - Category D</t>
  </si>
  <si>
    <t>WBS05COMCH</t>
  </si>
  <si>
    <t>Wingback Micro Sofa - Chrome Legs - COM</t>
  </si>
  <si>
    <t>WBS05COLCH</t>
  </si>
  <si>
    <t>Wingback Micro Sofa - Chrome Legs - COL</t>
  </si>
  <si>
    <t xml:space="preserve">WBS05BRA </t>
  </si>
  <si>
    <t>Wingback Micro Sofa - Brass Legs - Categpry A</t>
  </si>
  <si>
    <t>WBS05BRB</t>
  </si>
  <si>
    <t>Wingback Micro Sofa - Brass Legs - Categpry B</t>
  </si>
  <si>
    <t>WBS05BRC</t>
  </si>
  <si>
    <t>Wingback Micro Sofa - Brass Legs - Categpry C</t>
  </si>
  <si>
    <t>WBS05BRD</t>
  </si>
  <si>
    <t>Wingback Micro Sofa - Brass Legs - Categpry D</t>
  </si>
  <si>
    <t>WBS05COMBR</t>
  </si>
  <si>
    <t>Wingback Micro Sofa - Brass Legs - COM</t>
  </si>
  <si>
    <t>WBS05COLBR</t>
  </si>
  <si>
    <t>Wingback Micro Sofa - Brass Legs - COL</t>
  </si>
  <si>
    <t/>
  </si>
  <si>
    <t>EUR</t>
  </si>
  <si>
    <t>Component Price (EUR)</t>
  </si>
  <si>
    <t>EUR Price</t>
  </si>
  <si>
    <t>�</t>
  </si>
  <si>
    <t>=IF(E8="","",1)</t>
  </si>
  <si>
    <t>=NL("First","Item Unit of Measure","Height","Item No.",IF($E8="",$B8,$E8),"code","ea")</t>
  </si>
  <si>
    <t>=NL("First","Item Unit of Measure","Width","Item No.",IF($E8="",$B8,$E8),"code","ea")</t>
  </si>
  <si>
    <t>=NL("First","Item Unit of Measure","Length","Item No.",IF($E8="",$B8,$E8),"code","ea")</t>
  </si>
  <si>
    <t>=NL("First","Item Unit of Measure","Weight","Item No.",IF($E8="",$B8,$E8),"code","ea")</t>
  </si>
  <si>
    <t>=NL("First","Item","Country/Region of Origin Code","No.",IF($E8="",$B8,$E8))</t>
  </si>
  <si>
    <t>=NL("First","Item","Tariff No.","No.",IF($E8="",$B8,$E8))</t>
  </si>
  <si>
    <t>=NL("First","Item Cross Reference","Cross-Reference No.","Item No.",IF($E8="",$B8,$E8),"Cross-Reference Type No.","EAN 13","Unit of Measure","EA","Send to Whse","True")</t>
  </si>
  <si>
    <t>=IF(E9="","",1)</t>
  </si>
  <si>
    <t>=NL("First","Item Unit of Measure","Height","Item No.",IF($E9="",$B9,$E9),"code","ea")</t>
  </si>
  <si>
    <t>=NL("First","Item Unit of Measure","Width","Item No.",IF($E9="",$B9,$E9),"code","ea")</t>
  </si>
  <si>
    <t>=NL("First","Item Unit of Measure","Length","Item No.",IF($E9="",$B9,$E9),"code","ea")</t>
  </si>
  <si>
    <t>=NL("First","Item Unit of Measure","Weight","Item No.",IF($E9="",$B9,$E9),"code","ea")</t>
  </si>
  <si>
    <t>=NL("First","Item","Country/Region of Origin Code","No.",IF($E9="",$B9,$E9))</t>
  </si>
  <si>
    <t>=NL("First","Item","Tariff No.","No.",IF($E9="",$B9,$E9))</t>
  </si>
  <si>
    <t>=NL("First","Item Cross Reference","Cross-Reference No.","Item No.",IF($E9="",$B9,$E9),"Cross-Reference Type No.","EAN 13","Unit of Measure","EA","Send to Whse","True")</t>
  </si>
  <si>
    <t>=NL("First","Item Cross Reference","Cross-Reference No.","Item No.",IF($E10="",$B10,$E10),"Cross-Reference Type No.","EAN 13","Unit of Measure","EA","Send to Whse","True")</t>
  </si>
  <si>
    <t>=IF(E11="","",1)</t>
  </si>
  <si>
    <t>=NL("First","Item Unit of Measure","Height","Item No.",IF($E11="",$B11,$E11),"code","ea")</t>
  </si>
  <si>
    <t>=NL("First","Item Unit of Measure","Width","Item No.",IF($E11="",$B11,$E11),"code","ea")</t>
  </si>
  <si>
    <t>=NL("First","Item Unit of Measure","Length","Item No.",IF($E11="",$B11,$E11),"code","ea")</t>
  </si>
  <si>
    <t>=NL("First","Item Unit of Measure","Weight","Item No.",IF($E11="",$B11,$E11),"code","ea")</t>
  </si>
  <si>
    <t>=NL("First","Item","Country/Region of Origin Code","No.",IF($E11="",$B11,$E11))</t>
  </si>
  <si>
    <t>=NL("First","Item","Tariff No.","No.",IF($E11="",$B11,$E11))</t>
  </si>
  <si>
    <t>=NL("First","Item Cross Reference","Cross-Reference No.","Item No.",IF($E11="",$B11,$E11),"Cross-Reference Type No.","EAN 13","Unit of Measure","EA","Send to Whse","True")</t>
  </si>
  <si>
    <t>=IF(E12="","",1)</t>
  </si>
  <si>
    <t>=NL("First","Item Unit of Measure","Height","Item No.",IF($E12="",$B12,$E12),"code","ea")</t>
  </si>
  <si>
    <t>=NL("First","Item Unit of Measure","Width","Item No.",IF($E12="",$B12,$E12),"code","ea")</t>
  </si>
  <si>
    <t>=NL("First","Item Unit of Measure","Length","Item No.",IF($E12="",$B12,$E12),"code","ea")</t>
  </si>
  <si>
    <t>=NL("First","Item Unit of Measure","Weight","Item No.",IF($E12="",$B12,$E12),"code","ea")</t>
  </si>
  <si>
    <t>=NL("First","Item","Country/Region of Origin Code","No.",IF($E12="",$B12,$E12))</t>
  </si>
  <si>
    <t>=NL("First","Item","Tariff No.","No.",IF($E12="",$B12,$E12))</t>
  </si>
  <si>
    <t>=NL("First","Item Cross Reference","Cross-Reference No.","Item No.",IF($E12="",$B12,$E12),"Cross-Reference Type No.","EAN 13","Unit of Measure","EA","Send to Whse","True")</t>
  </si>
  <si>
    <t>=NL("First","Item Cross Reference","Cross-Reference No.","Item No.",IF($E13="",$B13,$E13),"Cross-Reference Type No.","EAN 13","Unit of Measure","EA","Send to Whse","True")</t>
  </si>
  <si>
    <t>=IF(E14="","",1)</t>
  </si>
  <si>
    <t>=NL("First","Item Unit of Measure","Height","Item No.",IF($E14="",$B14,$E14),"code","ea")</t>
  </si>
  <si>
    <t>=NL("First","Item Unit of Measure","Width","Item No.",IF($E14="",$B14,$E14),"code","ea")</t>
  </si>
  <si>
    <t>=NL("First","Item Unit of Measure","Length","Item No.",IF($E14="",$B14,$E14),"code","ea")</t>
  </si>
  <si>
    <t>=NL("First","Item Unit of Measure","Weight","Item No.",IF($E14="",$B14,$E14),"code","ea")</t>
  </si>
  <si>
    <t>=NL("First","Item","Country/Region of Origin Code","No.",IF($E14="",$B14,$E14))</t>
  </si>
  <si>
    <t>=NL("First","Item","Tariff No.","No.",IF($E14="",$B14,$E14))</t>
  </si>
  <si>
    <t>=NL("First","Item Cross Reference","Cross-Reference No.","Item No.",IF($E14="",$B14,$E14),"Cross-Reference Type No.","EAN 13","Unit of Measure","EA","Send to Whse","True")</t>
  </si>
  <si>
    <t>=IF(E15="","",1)</t>
  </si>
  <si>
    <t>=NL("First","Item Unit of Measure","Height","Item No.",IF($E15="",$B15,$E15),"code","ea")</t>
  </si>
  <si>
    <t>=NL("First","Item Unit of Measure","Width","Item No.",IF($E15="",$B15,$E15),"code","ea")</t>
  </si>
  <si>
    <t>=NL("First","Item Unit of Measure","Length","Item No.",IF($E15="",$B15,$E15),"code","ea")</t>
  </si>
  <si>
    <t>=NL("First","Item Unit of Measure","Weight","Item No.",IF($E15="",$B15,$E15),"code","ea")</t>
  </si>
  <si>
    <t>=NL("First","Item","Country/Region of Origin Code","No.",IF($E15="",$B15,$E15))</t>
  </si>
  <si>
    <t>=NL("First","Item","Tariff No.","No.",IF($E15="",$B15,$E15))</t>
  </si>
  <si>
    <t>=NL("First","Item Cross Reference","Cross-Reference No.","Item No.",IF($E15="",$B15,$E15),"Cross-Reference Type No.","EAN 13","Unit of Measure","EA","Send to Whse","True")</t>
  </si>
  <si>
    <t>=NL("First","Item Cross Reference","Cross-Reference No.","Item No.",IF($E16="",$B16,$E16),"Cross-Reference Type No.","EAN 13","Unit of Measure","EA","Send to Whse","True")</t>
  </si>
  <si>
    <t>1</t>
  </si>
  <si>
    <t>=NL("First","Item Unit of Measure","Height","Item No.",IF($E17="",$B17,$E17),"code","ea")</t>
  </si>
  <si>
    <t>=NL("First","Item Unit of Measure","Width","Item No.",IF($E17="",$B17,$E17),"code","ea")</t>
  </si>
  <si>
    <t>=NL("First","Item Unit of Measure","Length","Item No.",IF($E17="",$B17,$E17),"code","ea")</t>
  </si>
  <si>
    <t>=NL("First","Item Unit of Measure","Weight","Item No.",IF($E17="",$B17,$E17),"code","ea")</t>
  </si>
  <si>
    <t>=NL("First","Item","Country/Region of Origin Code","No.",IF($E17="",$B17,$E17))</t>
  </si>
  <si>
    <t>=NL("First","Item","Tariff No.","No.",IF($E17="",$B17,$E17))</t>
  </si>
  <si>
    <t>=NL("First","Item Cross Reference","Cross-Reference No.","Item No.",IF($E17="",$B17,$E17),"Cross-Reference Type No.","EAN 13","Unit of Measure","EA","Send to Whse","True")</t>
  </si>
  <si>
    <t>=NL("First","Item Unit of Measure","Height","Item No.",IF($E18="",$B18,$E18),"code","ea")</t>
  </si>
  <si>
    <t>=NL("First","Item Unit of Measure","Width","Item No.",IF($E18="",$B18,$E18),"code","ea")</t>
  </si>
  <si>
    <t>=NL("First","Item Unit of Measure","Length","Item No.",IF($E18="",$B18,$E18),"code","ea")</t>
  </si>
  <si>
    <t>=NL("First","Item Unit of Measure","Weight","Item No.",IF($E18="",$B18,$E18),"code","ea")</t>
  </si>
  <si>
    <t>=NL("First","Item","Country/Region of Origin Code","No.",IF($E18="",$B18,$E18))</t>
  </si>
  <si>
    <t>=NL("First","Item","Tariff No.","No.",IF($E18="",$B18,$E18))</t>
  </si>
  <si>
    <t>=NL("First","Item Cross Reference","Cross-Reference No.","Item No.",IF($E18="",$B18,$E18),"Cross-Reference Type No.","EAN 13","Unit of Measure","EA","Send to Whse","True")</t>
  </si>
  <si>
    <t>=IF(E19="","",1)</t>
  </si>
  <si>
    <t>=NL("First","Item Unit of Measure","Height","Item No.",IF($E19="",$B19,$E19),"code","ea")</t>
  </si>
  <si>
    <t>=NL("First","Item Unit of Measure","Width","Item No.",IF($E19="",$B19,$E19),"code","ea")</t>
  </si>
  <si>
    <t>=NL("First","Item Unit of Measure","Length","Item No.",IF($E19="",$B19,$E19),"code","ea")</t>
  </si>
  <si>
    <t>=NL("First","Item Unit of Measure","Weight","Item No.",IF($E19="",$B19,$E19),"code","ea")</t>
  </si>
  <si>
    <t>=NL("First","Item","Country/Region of Origin Code","No.",IF($E19="",$B19,$E19))</t>
  </si>
  <si>
    <t>=NL("First","Item","Tariff No.","No.",IF($E19="",$B19,$E19))</t>
  </si>
  <si>
    <t>=NL("First","Item Cross Reference","Cross-Reference No.","Item No.",IF($E19="",$B19,$E19),"Cross-Reference Type No.","EAN 13","Unit of Measure","EA","Send to Whse","True")</t>
  </si>
  <si>
    <t>=IF(E20="","",1)</t>
  </si>
  <si>
    <t>=NL("First","Item Unit of Measure","Height","Item No.",IF($E20="",$B20,$E20),"code","ea")</t>
  </si>
  <si>
    <t>=NL("First","Item Unit of Measure","Width","Item No.",IF($E20="",$B20,$E20),"code","ea")</t>
  </si>
  <si>
    <t>=NL("First","Item Unit of Measure","Length","Item No.",IF($E20="",$B20,$E20),"code","ea")</t>
  </si>
  <si>
    <t>=NL("First","Item Unit of Measure","Weight","Item No.",IF($E20="",$B20,$E20),"code","ea")</t>
  </si>
  <si>
    <t>=NL("First","Item","Country/Region of Origin Code","No.",IF($E20="",$B20,$E20))</t>
  </si>
  <si>
    <t>=NL("First","Item","Tariff No.","No.",IF($E20="",$B20,$E20))</t>
  </si>
  <si>
    <t>=NL("First","Item Cross Reference","Cross-Reference No.","Item No.",IF($E20="",$B20,$E20),"Cross-Reference Type No.","EAN 13","Unit of Measure","EA","Send to Whse","True")</t>
  </si>
  <si>
    <t>=NL("First","Item Cross Reference","Cross-Reference No.","Item No.",IF($E21="",$B21,$E21),"Cross-Reference Type No.","EAN 13","Unit of Measure","EA","Send to Whse","True")</t>
  </si>
  <si>
    <t>=IF(E22="","",1)</t>
  </si>
  <si>
    <t>=NL("First","Item Unit of Measure","Height","Item No.",IF($E22="",$B22,$E22),"code","ea")</t>
  </si>
  <si>
    <t>=NL("First","Item Unit of Measure","Width","Item No.",IF($E22="",$B22,$E22),"code","ea")</t>
  </si>
  <si>
    <t>=NL("First","Item Unit of Measure","Length","Item No.",IF($E22="",$B22,$E22),"code","ea")</t>
  </si>
  <si>
    <t>=NL("First","Item Unit of Measure","Weight","Item No.",IF($E22="",$B22,$E22),"code","ea")</t>
  </si>
  <si>
    <t>=NL("First","Item","Country/Region of Origin Code","No.",IF($E22="",$B22,$E22))</t>
  </si>
  <si>
    <t>=NL("First","Item","Tariff No.","No.",IF($E22="",$B22,$E22))</t>
  </si>
  <si>
    <t>=NL("First","Item Cross Reference","Cross-Reference No.","Item No.",IF($E22="",$B22,$E22),"Cross-Reference Type No.","EAN 13","Unit of Measure","EA","Send to Whse","True")</t>
  </si>
  <si>
    <t>=IF(E23="","",1)</t>
  </si>
  <si>
    <t>=NL("First","Item Unit of Measure","Height","Item No.",IF($E23="",$B23,$E23),"code","ea")</t>
  </si>
  <si>
    <t>=NL("First","Item Unit of Measure","Width","Item No.",IF($E23="",$B23,$E23),"code","ea")</t>
  </si>
  <si>
    <t>=NL("First","Item Unit of Measure","Length","Item No.",IF($E23="",$B23,$E23),"code","ea")</t>
  </si>
  <si>
    <t>=NL("First","Item Unit of Measure","Weight","Item No.",IF($E23="",$B23,$E23),"code","ea")</t>
  </si>
  <si>
    <t>=NL("First","Item","Country/Region of Origin Code","No.",IF($E23="",$B23,$E23))</t>
  </si>
  <si>
    <t>=NL("First","Item","Tariff No.","No.",IF($E23="",$B23,$E23))</t>
  </si>
  <si>
    <t>=NL("First","Item Cross Reference","Cross-Reference No.","Item No.",IF($E23="",$B23,$E23),"Cross-Reference Type No.","EAN 13","Unit of Measure","EA","Send to Whse","True")</t>
  </si>
  <si>
    <t>=NL("First","Item Cross Reference","Cross-Reference No.","Item No.",IF($E24="",$B24,$E24),"Cross-Reference Type No.","EAN 13","Unit of Measure","EA","Send to Whse","True")</t>
  </si>
  <si>
    <t>=IF(E25="","",1)</t>
  </si>
  <si>
    <t>=NL("First","Item Unit of Measure","Height","Item No.",IF($E25="",$B25,$E25),"code","ea")</t>
  </si>
  <si>
    <t>=NL("First","Item Unit of Measure","Width","Item No.",IF($E25="",$B25,$E25),"code","ea")</t>
  </si>
  <si>
    <t>=NL("First","Item Unit of Measure","Length","Item No.",IF($E25="",$B25,$E25),"code","ea")</t>
  </si>
  <si>
    <t>=NL("First","Item Unit of Measure","Weight","Item No.",IF($E25="",$B25,$E25),"code","ea")</t>
  </si>
  <si>
    <t>=NL("First","Item","Country/Region of Origin Code","No.",IF($E25="",$B25,$E25))</t>
  </si>
  <si>
    <t>=NL("First","Item","Tariff No.","No.",IF($E25="",$B25,$E25))</t>
  </si>
  <si>
    <t>=NL("First","Item Cross Reference","Cross-Reference No.","Item No.",IF($E25="",$B25,$E25),"Cross-Reference Type No.","EAN 13","Unit of Measure","EA","Send to Whse","True")</t>
  </si>
  <si>
    <t>=IF(E26="","",1)</t>
  </si>
  <si>
    <t>=NL("First","Item Unit of Measure","Height","Item No.",IF($E26="",$B26,$E26),"code","ea")</t>
  </si>
  <si>
    <t>=NL("First","Item Unit of Measure","Width","Item No.",IF($E26="",$B26,$E26),"code","ea")</t>
  </si>
  <si>
    <t>=NL("First","Item Unit of Measure","Length","Item No.",IF($E26="",$B26,$E26),"code","ea")</t>
  </si>
  <si>
    <t>=NL("First","Item Unit of Measure","Weight","Item No.",IF($E26="",$B26,$E26),"code","ea")</t>
  </si>
  <si>
    <t>=NL("First","Item","Country/Region of Origin Code","No.",IF($E26="",$B26,$E26))</t>
  </si>
  <si>
    <t>=NL("First","Item","Tariff No.","No.",IF($E26="",$B26,$E26))</t>
  </si>
  <si>
    <t>=NL("First","Item Cross Reference","Cross-Reference No.","Item No.",IF($E26="",$B26,$E26),"Cross-Reference Type No.","EAN 13","Unit of Measure","EA","Send to Whse","True")</t>
  </si>
  <si>
    <t>=NL("First","Item Cross Reference","Cross-Reference No.","Item No.",IF($E27="",$B27,$E27),"Cross-Reference Type No.","EAN 13","Unit of Measure","EA","Send to Whse","True")</t>
  </si>
  <si>
    <t>=IF(E28="","",1)</t>
  </si>
  <si>
    <t>=NL("First","Item Unit of Measure","Height","Item No.",IF($E28="",$B28,$E28),"code","ea")</t>
  </si>
  <si>
    <t>=NL("First","Item Unit of Measure","Width","Item No.",IF($E28="",$B28,$E28),"code","ea")</t>
  </si>
  <si>
    <t>=NL("First","Item Unit of Measure","Length","Item No.",IF($E28="",$B28,$E28),"code","ea")</t>
  </si>
  <si>
    <t>=NL("First","Item Unit of Measure","Weight","Item No.",IF($E28="",$B28,$E28),"code","ea")</t>
  </si>
  <si>
    <t>=NL("First","Item","Country/Region of Origin Code","No.",IF($E28="",$B28,$E28))</t>
  </si>
  <si>
    <t>=NL("First","Item","Tariff No.","No.",IF($E28="",$B28,$E28))</t>
  </si>
  <si>
    <t>=NL("First","Item Cross Reference","Cross-Reference No.","Item No.",IF($E28="",$B28,$E28),"Cross-Reference Type No.","EAN 13","Unit of Measure","EA","Send to Whse","True")</t>
  </si>
  <si>
    <t>=IF(E29="","",1)</t>
  </si>
  <si>
    <t>=NL("First","Item Unit of Measure","Height","Item No.",IF($E29="",$B29,$E29),"code","ea")</t>
  </si>
  <si>
    <t>=NL("First","Item Unit of Measure","Width","Item No.",IF($E29="",$B29,$E29),"code","ea")</t>
  </si>
  <si>
    <t>=NL("First","Item Unit of Measure","Length","Item No.",IF($E29="",$B29,$E29),"code","ea")</t>
  </si>
  <si>
    <t>=NL("First","Item Unit of Measure","Weight","Item No.",IF($E29="",$B29,$E29),"code","ea")</t>
  </si>
  <si>
    <t>=NL("First","Item","Country/Region of Origin Code","No.",IF($E29="",$B29,$E29))</t>
  </si>
  <si>
    <t>=NL("First","Item","Tariff No.","No.",IF($E29="",$B29,$E29))</t>
  </si>
  <si>
    <t>=NL("First","Item Cross Reference","Cross-Reference No.","Item No.",IF($E29="",$B29,$E29),"Cross-Reference Type No.","EAN 13","Unit of Measure","EA","Send to Whse","True")</t>
  </si>
  <si>
    <t>=NL("First","Item Cross Reference","Cross-Reference No.","Item No.",IF($E30="",$B30,$E30),"Cross-Reference Type No.","EAN 13","Unit of Measure","EA","Send to Whse","True")</t>
  </si>
  <si>
    <t>=IF(E31="","",1)</t>
  </si>
  <si>
    <t>=NL("First","Item Unit of Measure","Height","Item No.",IF($E31="",$B31,$E31),"code","ea")</t>
  </si>
  <si>
    <t>=NL("First","Item Unit of Measure","Width","Item No.",IF($E31="",$B31,$E31),"code","ea")</t>
  </si>
  <si>
    <t>=NL("First","Item Unit of Measure","Length","Item No.",IF($E31="",$B31,$E31),"code","ea")</t>
  </si>
  <si>
    <t>=NL("First","Item Unit of Measure","Weight","Item No.",IF($E31="",$B31,$E31),"code","ea")</t>
  </si>
  <si>
    <t>=NL("First","Item","Country/Region of Origin Code","No.",IF($E31="",$B31,$E31))</t>
  </si>
  <si>
    <t>=NL("First","Item","Tariff No.","No.",IF($E31="",$B31,$E31))</t>
  </si>
  <si>
    <t>=NL("First","Item Cross Reference","Cross-Reference No.","Item No.",IF($E31="",$B31,$E31),"Cross-Reference Type No.","EAN 13","Unit of Measure","EA","Send to Whse","True")</t>
  </si>
  <si>
    <t>=IF(E32="","",1)</t>
  </si>
  <si>
    <t>=NL("First","Item Unit of Measure","Height","Item No.",IF($E32="",$B32,$E32),"code","ea")</t>
  </si>
  <si>
    <t>=NL("First","Item Unit of Measure","Width","Item No.",IF($E32="",$B32,$E32),"code","ea")</t>
  </si>
  <si>
    <t>=NL("First","Item Unit of Measure","Length","Item No.",IF($E32="",$B32,$E32),"code","ea")</t>
  </si>
  <si>
    <t>=NL("First","Item Unit of Measure","Weight","Item No.",IF($E32="",$B32,$E32),"code","ea")</t>
  </si>
  <si>
    <t>=NL("First","Item","Country/Region of Origin Code","No.",IF($E32="",$B32,$E32))</t>
  </si>
  <si>
    <t>=NL("First","Item","Tariff No.","No.",IF($E32="",$B32,$E32))</t>
  </si>
  <si>
    <t>=NL("First","Item Cross Reference","Cross-Reference No.","Item No.",IF($E32="",$B32,$E32),"Cross-Reference Type No.","EAN 13","Unit of Measure","EA","Send to Whse","True")</t>
  </si>
  <si>
    <t>=NL("First","Item Cross Reference","Cross-Reference No.","Item No.",IF($E33="",$B33,$E33),"Cross-Reference Type No.","EAN 13","Unit of Measure","EA","Send to Whse","True")</t>
  </si>
  <si>
    <t>=IF(E34="","",1)</t>
  </si>
  <si>
    <t>=NL("First","Item Unit of Measure","Height","Item No.",IF($E34="",$B34,$E34),"code","ea")</t>
  </si>
  <si>
    <t>=NL("First","Item Unit of Measure","Width","Item No.",IF($E34="",$B34,$E34),"code","ea")</t>
  </si>
  <si>
    <t>=NL("First","Item Unit of Measure","Length","Item No.",IF($E34="",$B34,$E34),"code","ea")</t>
  </si>
  <si>
    <t>=NL("First","Item Unit of Measure","Weight","Item No.",IF($E34="",$B34,$E34),"code","ea")</t>
  </si>
  <si>
    <t>=NL("First","Item","Country/Region of Origin Code","No.",IF($E34="",$B34,$E34))</t>
  </si>
  <si>
    <t>=NL("First","Item","Tariff No.","No.",IF($E34="",$B34,$E34))</t>
  </si>
  <si>
    <t>=NL("First","Item Cross Reference","Cross-Reference No.","Item No.",IF($E34="",$B34,$E34),"Cross-Reference Type No.","EAN 13","Unit of Measure","EA","Send to Whse","True")</t>
  </si>
  <si>
    <t>=IF(E35="","",1)</t>
  </si>
  <si>
    <t>=NL("First","Item Unit of Measure","Height","Item No.",IF($E35="",$B35,$E35),"code","ea")</t>
  </si>
  <si>
    <t>=NL("First","Item Unit of Measure","Width","Item No.",IF($E35="",$B35,$E35),"code","ea")</t>
  </si>
  <si>
    <t>=NL("First","Item Unit of Measure","Length","Item No.",IF($E35="",$B35,$E35),"code","ea")</t>
  </si>
  <si>
    <t>=NL("First","Item Unit of Measure","Weight","Item No.",IF($E35="",$B35,$E35),"code","ea")</t>
  </si>
  <si>
    <t>=NL("First","Item","Country/Region of Origin Code","No.",IF($E35="",$B35,$E35))</t>
  </si>
  <si>
    <t>=NL("First","Item","Tariff No.","No.",IF($E35="",$B35,$E35))</t>
  </si>
  <si>
    <t>=NL("First","Item Cross Reference","Cross-Reference No.","Item No.",IF($E35="",$B35,$E35),"Cross-Reference Type No.","EAN 13","Unit of Measure","EA","Send to Whse","True")</t>
  </si>
  <si>
    <t>=NL("First","Item Cross Reference","Cross-Reference No.","Item No.",IF($E36="",$B36,$E36),"Cross-Reference Type No.","EAN 13","Unit of Measure","EA","Send to Whse","True")</t>
  </si>
  <si>
    <t>=IF(E37="","",1)</t>
  </si>
  <si>
    <t>=NL("First","Item Unit of Measure","Height","Item No.",IF($E37="",$B37,$E37),"code","ea")</t>
  </si>
  <si>
    <t>=NL("First","Item Unit of Measure","Width","Item No.",IF($E37="",$B37,$E37),"code","ea")</t>
  </si>
  <si>
    <t>=NL("First","Item Unit of Measure","Length","Item No.",IF($E37="",$B37,$E37),"code","ea")</t>
  </si>
  <si>
    <t>=NL("First","Item Unit of Measure","Weight","Item No.",IF($E37="",$B37,$E37),"code","ea")</t>
  </si>
  <si>
    <t>=NL("First","Item","Country/Region of Origin Code","No.",IF($E37="",$B37,$E37))</t>
  </si>
  <si>
    <t>=NL("First","Item","Tariff No.","No.",IF($E37="",$B37,$E37))</t>
  </si>
  <si>
    <t>=NL("First","Item Cross Reference","Cross-Reference No.","Item No.",IF($E37="",$B37,$E37),"Cross-Reference Type No.","EAN 13","Unit of Measure","EA","Send to Whse","True")</t>
  </si>
  <si>
    <t>=IF(E38="","",1)</t>
  </si>
  <si>
    <t>=NL("First","Item Unit of Measure","Height","Item No.",IF($E38="",$B38,$E38),"code","ea")</t>
  </si>
  <si>
    <t>=NL("First","Item Unit of Measure","Width","Item No.",IF($E38="",$B38,$E38),"code","ea")</t>
  </si>
  <si>
    <t>=NL("First","Item Unit of Measure","Length","Item No.",IF($E38="",$B38,$E38),"code","ea")</t>
  </si>
  <si>
    <t>=NL("First","Item Unit of Measure","Weight","Item No.",IF($E38="",$B38,$E38),"code","ea")</t>
  </si>
  <si>
    <t>=NL("First","Item","Country/Region of Origin Code","No.",IF($E38="",$B38,$E38))</t>
  </si>
  <si>
    <t>=NL("First","Item","Tariff No.","No.",IF($E38="",$B38,$E38))</t>
  </si>
  <si>
    <t>=NL("First","Item Cross Reference","Cross-Reference No.","Item No.",IF($E38="",$B38,$E38),"Cross-Reference Type No.","EAN 13","Unit of Measure","EA","Send to Whse","True")</t>
  </si>
  <si>
    <t>=NL("First","Item Cross Reference","Cross-Reference No.","Item No.",IF($E39="",$B39,$E39),"Cross-Reference Type No.","EAN 13","Unit of Measure","EA","Send to Whse","True")</t>
  </si>
  <si>
    <t>=IF(E40="","",1)</t>
  </si>
  <si>
    <t>=NL("First","Item Unit of Measure","Height","Item No.",IF($E40="",$B40,$E40),"code","ea")</t>
  </si>
  <si>
    <t>=NL("First","Item Unit of Measure","Width","Item No.",IF($E40="",$B40,$E40),"code","ea")</t>
  </si>
  <si>
    <t>=NL("First","Item Unit of Measure","Length","Item No.",IF($E40="",$B40,$E40),"code","ea")</t>
  </si>
  <si>
    <t>=NL("First","Item Unit of Measure","Weight","Item No.",IF($E40="",$B40,$E40),"code","ea")</t>
  </si>
  <si>
    <t>=NL("First","Item","Country/Region of Origin Code","No.",IF($E40="",$B40,$E40))</t>
  </si>
  <si>
    <t>=NL("First","Item","Tariff No.","No.",IF($E40="",$B40,$E40))</t>
  </si>
  <si>
    <t>=NL("First","Item Cross Reference","Cross-Reference No.","Item No.",IF($E40="",$B40,$E40),"Cross-Reference Type No.","EAN 13","Unit of Measure","EA","Send to Whse","True")</t>
  </si>
  <si>
    <t>=IF(E41="","",1)</t>
  </si>
  <si>
    <t>=NL("First","Item Unit of Measure","Height","Item No.",IF($E41="",$B41,$E41),"code","ea")</t>
  </si>
  <si>
    <t>=NL("First","Item Unit of Measure","Width","Item No.",IF($E41="",$B41,$E41),"code","ea")</t>
  </si>
  <si>
    <t>=NL("First","Item Unit of Measure","Length","Item No.",IF($E41="",$B41,$E41),"code","ea")</t>
  </si>
  <si>
    <t>=NL("First","Item Unit of Measure","Weight","Item No.",IF($E41="",$B41,$E41),"code","ea")</t>
  </si>
  <si>
    <t>=NL("First","Item","Country/Region of Origin Code","No.",IF($E41="",$B41,$E41))</t>
  </si>
  <si>
    <t>=NL("First","Item","Tariff No.","No.",IF($E41="",$B41,$E41))</t>
  </si>
  <si>
    <t>=NL("First","Item Cross Reference","Cross-Reference No.","Item No.",IF($E41="",$B41,$E41),"Cross-Reference Type No.","EAN 13","Unit of Measure","EA","Send to Whse","True")</t>
  </si>
  <si>
    <t>=NL("First","Item Cross Reference","Cross-Reference No.","Item No.",IF($E42="",$B42,$E42),"Cross-Reference Type No.","EAN 13","Unit of Measure","EA","Send to Whse","True")</t>
  </si>
  <si>
    <t>=IF(E43="","",1)</t>
  </si>
  <si>
    <t>=NL("First","Item Unit of Measure","Height","Item No.",IF($E43="",$B43,$E43),"code","ea")</t>
  </si>
  <si>
    <t>=NL("First","Item Unit of Measure","Width","Item No.",IF($E43="",$B43,$E43),"code","ea")</t>
  </si>
  <si>
    <t>=NL("First","Item Unit of Measure","Length","Item No.",IF($E43="",$B43,$E43),"code","ea")</t>
  </si>
  <si>
    <t>=NL("First","Item Unit of Measure","Weight","Item No.",IF($E43="",$B43,$E43),"code","ea")</t>
  </si>
  <si>
    <t>=NL("First","Item","Country/Region of Origin Code","No.",IF($E43="",$B43,$E43))</t>
  </si>
  <si>
    <t>=NL("First","Item","Tariff No.","No.",IF($E43="",$B43,$E43))</t>
  </si>
  <si>
    <t>=NL("First","Item Cross Reference","Cross-Reference No.","Item No.",IF($E43="",$B43,$E43),"Cross-Reference Type No.","EAN 13","Unit of Measure","EA","Send to Whse","True")</t>
  </si>
  <si>
    <t>=IF(E44="","",1)</t>
  </si>
  <si>
    <t>=NL("First","Item Unit of Measure","Height","Item No.",IF($E44="",$B44,$E44),"code","ea")</t>
  </si>
  <si>
    <t>=NL("First","Item Unit of Measure","Width","Item No.",IF($E44="",$B44,$E44),"code","ea")</t>
  </si>
  <si>
    <t>=NL("First","Item Unit of Measure","Length","Item No.",IF($E44="",$B44,$E44),"code","ea")</t>
  </si>
  <si>
    <t>=NL("First","Item Unit of Measure","Weight","Item No.",IF($E44="",$B44,$E44),"code","ea")</t>
  </si>
  <si>
    <t>=NL("First","Item","Country/Region of Origin Code","No.",IF($E44="",$B44,$E44))</t>
  </si>
  <si>
    <t>=NL("First","Item","Tariff No.","No.",IF($E44="",$B44,$E44))</t>
  </si>
  <si>
    <t>=NL("First","Item Cross Reference","Cross-Reference No.","Item No.",IF($E44="",$B44,$E44),"Cross-Reference Type No.","EAN 13","Unit of Measure","EA","Send to Whse","True")</t>
  </si>
  <si>
    <t>=NL("First","Item Cross Reference","Cross-Reference No.","Item No.",IF($E45="",$B45,$E45),"Cross-Reference Type No.","EAN 13","Unit of Measure","EA","Send to Whse","True")</t>
  </si>
  <si>
    <t>=IF(E46="","",1)</t>
  </si>
  <si>
    <t>=NL("First","Item Unit of Measure","Height","Item No.",IF($E46="",$B46,$E46),"code","ea")</t>
  </si>
  <si>
    <t>=NL("First","Item Unit of Measure","Width","Item No.",IF($E46="",$B46,$E46),"code","ea")</t>
  </si>
  <si>
    <t>=NL("First","Item Unit of Measure","Length","Item No.",IF($E46="",$B46,$E46),"code","ea")</t>
  </si>
  <si>
    <t>=NL("First","Item Unit of Measure","Weight","Item No.",IF($E46="",$B46,$E46),"code","ea")</t>
  </si>
  <si>
    <t>=NL("First","Item","Country/Region of Origin Code","No.",IF($E46="",$B46,$E46))</t>
  </si>
  <si>
    <t>=NL("First","Item","Tariff No.","No.",IF($E46="",$B46,$E46))</t>
  </si>
  <si>
    <t>=NL("First","Item Cross Reference","Cross-Reference No.","Item No.",IF($E46="",$B46,$E46),"Cross-Reference Type No.","EAN 13","Unit of Measure","EA","Send to Whse","True")</t>
  </si>
  <si>
    <t>=IF(E47="","",1)</t>
  </si>
  <si>
    <t>=NL("First","Item Unit of Measure","Height","Item No.",IF($E47="",$B47,$E47),"code","ea")</t>
  </si>
  <si>
    <t>=NL("First","Item Unit of Measure","Width","Item No.",IF($E47="",$B47,$E47),"code","ea")</t>
  </si>
  <si>
    <t>=NL("First","Item Unit of Measure","Length","Item No.",IF($E47="",$B47,$E47),"code","ea")</t>
  </si>
  <si>
    <t>=NL("First","Item Unit of Measure","Weight","Item No.",IF($E47="",$B47,$E47),"code","ea")</t>
  </si>
  <si>
    <t>=NL("First","Item","Country/Region of Origin Code","No.",IF($E47="",$B47,$E47))</t>
  </si>
  <si>
    <t>=NL("First","Item","Tariff No.","No.",IF($E47="",$B47,$E47))</t>
  </si>
  <si>
    <t>=NL("First","Item Cross Reference","Cross-Reference No.","Item No.",IF($E47="",$B47,$E47),"Cross-Reference Type No.","EAN 13","Unit of Measure","EA","Send to Whse","True")</t>
  </si>
  <si>
    <t>=NL("First","Item Cross Reference","Cross-Reference No.","Item No.",IF($E48="",$B48,$E48),"Cross-Reference Type No.","EAN 13","Unit of Measure","EA","Send to Whse","True")</t>
  </si>
  <si>
    <t>=IF(E49="","",1)</t>
  </si>
  <si>
    <t>=NL("First","Item Unit of Measure","Height","Item No.",IF($E49="",$B49,$E49),"code","ea")</t>
  </si>
  <si>
    <t>=NL("First","Item Unit of Measure","Width","Item No.",IF($E49="",$B49,$E49),"code","ea")</t>
  </si>
  <si>
    <t>=NL("First","Item Unit of Measure","Length","Item No.",IF($E49="",$B49,$E49),"code","ea")</t>
  </si>
  <si>
    <t>=NL("First","Item Unit of Measure","Weight","Item No.",IF($E49="",$B49,$E49),"code","ea")</t>
  </si>
  <si>
    <t>=NL("First","Item","Country/Region of Origin Code","No.",IF($E49="",$B49,$E49))</t>
  </si>
  <si>
    <t>=NL("First","Item","Tariff No.","No.",IF($E49="",$B49,$E49))</t>
  </si>
  <si>
    <t>=NL("First","Item Cross Reference","Cross-Reference No.","Item No.",IF($E49="",$B49,$E49),"Cross-Reference Type No.","EAN 13","Unit of Measure","EA","Send to Whse","True")</t>
  </si>
  <si>
    <t>=IF(E50="","",1)</t>
  </si>
  <si>
    <t>=NL("First","Item Unit of Measure","Height","Item No.",IF($E50="",$B50,$E50),"code","ea")</t>
  </si>
  <si>
    <t>=NL("First","Item Unit of Measure","Width","Item No.",IF($E50="",$B50,$E50),"code","ea")</t>
  </si>
  <si>
    <t>=NL("First","Item Unit of Measure","Length","Item No.",IF($E50="",$B50,$E50),"code","ea")</t>
  </si>
  <si>
    <t>=NL("First","Item Unit of Measure","Weight","Item No.",IF($E50="",$B50,$E50),"code","ea")</t>
  </si>
  <si>
    <t>=NL("First","Item","Country/Region of Origin Code","No.",IF($E50="",$B50,$E50))</t>
  </si>
  <si>
    <t>=NL("First","Item","Tariff No.","No.",IF($E50="",$B50,$E50))</t>
  </si>
  <si>
    <t>=NL("First","Item Cross Reference","Cross-Reference No.","Item No.",IF($E50="",$B50,$E50),"Cross-Reference Type No.","EAN 13","Unit of Measure","EA","Send to Whse","True")</t>
  </si>
  <si>
    <t>=NL("First","Item Cross Reference","Cross-Reference No.","Item No.",IF($E51="",$B51,$E51),"Cross-Reference Type No.","EAN 13","Unit of Measure","EA","Send to Whse","True")</t>
  </si>
  <si>
    <t>=IF(E52="","",1)</t>
  </si>
  <si>
    <t>=NL("First","Item Unit of Measure","Height","Item No.",IF($E52="",$B52,$E52),"code","ea")</t>
  </si>
  <si>
    <t>=NL("First","Item Unit of Measure","Width","Item No.",IF($E52="",$B52,$E52),"code","ea")</t>
  </si>
  <si>
    <t>=NL("First","Item Unit of Measure","Length","Item No.",IF($E52="",$B52,$E52),"code","ea")</t>
  </si>
  <si>
    <t>=NL("First","Item Unit of Measure","Weight","Item No.",IF($E52="",$B52,$E52),"code","ea")</t>
  </si>
  <si>
    <t>=NL("First","Item","Country/Region of Origin Code","No.",IF($E52="",$B52,$E52))</t>
  </si>
  <si>
    <t>=NL("First","Item","Tariff No.","No.",IF($E52="",$B52,$E52))</t>
  </si>
  <si>
    <t>=NL("First","Item Cross Reference","Cross-Reference No.","Item No.",IF($E52="",$B52,$E52),"Cross-Reference Type No.","EAN 13","Unit of Measure","EA","Send to Whse","True")</t>
  </si>
  <si>
    <t>=IF(E53="","",1)</t>
  </si>
  <si>
    <t>=NL("First","Item Unit of Measure","Height","Item No.",IF($E53="",$B53,$E53),"code","ea")</t>
  </si>
  <si>
    <t>=NL("First","Item Unit of Measure","Width","Item No.",IF($E53="",$B53,$E53),"code","ea")</t>
  </si>
  <si>
    <t>=NL("First","Item Unit of Measure","Length","Item No.",IF($E53="",$B53,$E53),"code","ea")</t>
  </si>
  <si>
    <t>=NL("First","Item Unit of Measure","Weight","Item No.",IF($E53="",$B53,$E53),"code","ea")</t>
  </si>
  <si>
    <t>=NL("First","Item","Country/Region of Origin Code","No.",IF($E53="",$B53,$E53))</t>
  </si>
  <si>
    <t>=NL("First","Item","Tariff No.","No.",IF($E53="",$B53,$E53))</t>
  </si>
  <si>
    <t>=NL("First","Item Cross Reference","Cross-Reference No.","Item No.",IF($E53="",$B53,$E53),"Cross-Reference Type No.","EAN 13","Unit of Measure","EA","Send to Whse","True")</t>
  </si>
  <si>
    <t>=NL("First","Item Cross Reference","Cross-Reference No.","Item No.",IF($E54="",$B54,$E54),"Cross-Reference Type No.","EAN 13","Unit of Measure","EA","Send to Whse","True")</t>
  </si>
  <si>
    <t>=IF(E55="","",1)</t>
  </si>
  <si>
    <t>=NL("First","Item Unit of Measure","Height","Item No.",IF($E55="",$B55,$E55),"code","ea")</t>
  </si>
  <si>
    <t>=NL("First","Item Unit of Measure","Width","Item No.",IF($E55="",$B55,$E55),"code","ea")</t>
  </si>
  <si>
    <t>=NL("First","Item Unit of Measure","Length","Item No.",IF($E55="",$B55,$E55),"code","ea")</t>
  </si>
  <si>
    <t>=NL("First","Item Unit of Measure","Weight","Item No.",IF($E55="",$B55,$E55),"code","ea")</t>
  </si>
  <si>
    <t>=NL("First","Item","Country/Region of Origin Code","No.",IF($E55="",$B55,$E55))</t>
  </si>
  <si>
    <t>=NL("First","Item","Tariff No.","No.",IF($E55="",$B55,$E55))</t>
  </si>
  <si>
    <t>=NL("First","Item Cross Reference","Cross-Reference No.","Item No.",IF($E55="",$B55,$E55),"Cross-Reference Type No.","EAN 13","Unit of Measure","EA","Send to Whse","True")</t>
  </si>
  <si>
    <t>=IF(E56="","",1)</t>
  </si>
  <si>
    <t>=NL("First","Item Unit of Measure","Height","Item No.",IF($E56="",$B56,$E56),"code","ea")</t>
  </si>
  <si>
    <t>=NL("First","Item Unit of Measure","Width","Item No.",IF($E56="",$B56,$E56),"code","ea")</t>
  </si>
  <si>
    <t>=NL("First","Item Unit of Measure","Length","Item No.",IF($E56="",$B56,$E56),"code","ea")</t>
  </si>
  <si>
    <t>=NL("First","Item Unit of Measure","Weight","Item No.",IF($E56="",$B56,$E56),"code","ea")</t>
  </si>
  <si>
    <t>=NL("First","Item","Country/Region of Origin Code","No.",IF($E56="",$B56,$E56))</t>
  </si>
  <si>
    <t>=NL("First","Item","Tariff No.","No.",IF($E56="",$B56,$E56))</t>
  </si>
  <si>
    <t>=NL("First","Item Cross Reference","Cross-Reference No.","Item No.",IF($E56="",$B56,$E56),"Cross-Reference Type No.","EAN 13","Unit of Measure","EA","Send to Whse","True")</t>
  </si>
  <si>
    <t>=NL("First","Item Cross Reference","Cross-Reference No.","Item No.",IF($E57="",$B57,$E57),"Cross-Reference Type No.","EAN 13","Unit of Measure","EA","Send to Whse","True")</t>
  </si>
  <si>
    <t>=IF(E58="","",1)</t>
  </si>
  <si>
    <t>=NL("First","Item Unit of Measure","Height","Item No.",IF($E58="",$B58,$E58),"code","ea")</t>
  </si>
  <si>
    <t>=NL("First","Item Unit of Measure","Width","Item No.",IF($E58="",$B58,$E58),"code","ea")</t>
  </si>
  <si>
    <t>=NL("First","Item Unit of Measure","Length","Item No.",IF($E58="",$B58,$E58),"code","ea")</t>
  </si>
  <si>
    <t>=NL("First","Item Unit of Measure","Weight","Item No.",IF($E58="",$B58,$E58),"code","ea")</t>
  </si>
  <si>
    <t>=NL("First","Item","Country/Region of Origin Code","No.",IF($E58="",$B58,$E58))</t>
  </si>
  <si>
    <t>=NL("First","Item","Tariff No.","No.",IF($E58="",$B58,$E58))</t>
  </si>
  <si>
    <t>=NL("First","Item Cross Reference","Cross-Reference No.","Item No.",IF($E58="",$B58,$E58),"Cross-Reference Type No.","EAN 13","Unit of Measure","EA","Send to Whse","True")</t>
  </si>
  <si>
    <t>=IF(E59="","",1)</t>
  </si>
  <si>
    <t>=NL("First","Item Unit of Measure","Height","Item No.",IF($E59="",$B59,$E59),"code","ea")</t>
  </si>
  <si>
    <t>=NL("First","Item Unit of Measure","Width","Item No.",IF($E59="",$B59,$E59),"code","ea")</t>
  </si>
  <si>
    <t>=NL("First","Item Unit of Measure","Length","Item No.",IF($E59="",$B59,$E59),"code","ea")</t>
  </si>
  <si>
    <t>=NL("First","Item Unit of Measure","Weight","Item No.",IF($E59="",$B59,$E59),"code","ea")</t>
  </si>
  <si>
    <t>=NL("First","Item","Country/Region of Origin Code","No.",IF($E59="",$B59,$E59))</t>
  </si>
  <si>
    <t>=NL("First","Item","Tariff No.","No.",IF($E59="",$B59,$E59))</t>
  </si>
  <si>
    <t>=NL("First","Item Cross Reference","Cross-Reference No.","Item No.",IF($E59="",$B59,$E59),"Cross-Reference Type No.","EAN 13","Unit of Measure","EA","Send to Whse","True")</t>
  </si>
  <si>
    <t>=NL("First","Item Cross Reference","Cross-Reference No.","Item No.",IF($E60="",$B60,$E60),"Cross-Reference Type No.","EAN 13","Unit of Measure","EA","Send to Whse","True")</t>
  </si>
  <si>
    <t>=IF(E61="","",1)</t>
  </si>
  <si>
    <t>=NL("First","Item Unit of Measure","Height","Item No.",IF($E61="",$B61,$E61),"code","ea")</t>
  </si>
  <si>
    <t>=NL("First","Item Unit of Measure","Width","Item No.",IF($E61="",$B61,$E61),"code","ea")</t>
  </si>
  <si>
    <t>=NL("First","Item Unit of Measure","Length","Item No.",IF($E61="",$B61,$E61),"code","ea")</t>
  </si>
  <si>
    <t>=NL("First","Item Unit of Measure","Weight","Item No.",IF($E61="",$B61,$E61),"code","ea")</t>
  </si>
  <si>
    <t>=NL("First","Item","Country/Region of Origin Code","No.",IF($E61="",$B61,$E61))</t>
  </si>
  <si>
    <t>=NL("First","Item","Tariff No.","No.",IF($E61="",$B61,$E61))</t>
  </si>
  <si>
    <t>=NL("First","Item Cross Reference","Cross-Reference No.","Item No.",IF($E61="",$B61,$E61),"Cross-Reference Type No.","EAN 13","Unit of Measure","EA","Send to Whse","True")</t>
  </si>
  <si>
    <t>=IF(E62="","",1)</t>
  </si>
  <si>
    <t>=NL("First","Item Unit of Measure","Height","Item No.",IF($E62="",$B62,$E62),"code","ea")</t>
  </si>
  <si>
    <t>=NL("First","Item Unit of Measure","Width","Item No.",IF($E62="",$B62,$E62),"code","ea")</t>
  </si>
  <si>
    <t>=NL("First","Item Unit of Measure","Length","Item No.",IF($E62="",$B62,$E62),"code","ea")</t>
  </si>
  <si>
    <t>=NL("First","Item Unit of Measure","Weight","Item No.",IF($E62="",$B62,$E62),"code","ea")</t>
  </si>
  <si>
    <t>=NL("First","Item","Country/Region of Origin Code","No.",IF($E62="",$B62,$E62))</t>
  </si>
  <si>
    <t>=NL("First","Item","Tariff No.","No.",IF($E62="",$B62,$E62))</t>
  </si>
  <si>
    <t>=NL("First","Item Cross Reference","Cross-Reference No.","Item No.",IF($E62="",$B62,$E62),"Cross-Reference Type No.","EAN 13","Unit of Measure","EA","Send to Whse","True")</t>
  </si>
  <si>
    <t>=NL("First","Item Cross Reference","Cross-Reference No.","Item No.",IF($E63="",$B63,$E63),"Cross-Reference Type No.","EAN 13","Unit of Measure","EA","Send to Whse","True")</t>
  </si>
  <si>
    <t>=IF(E64="","",1)</t>
  </si>
  <si>
    <t>=NL("First","Item Unit of Measure","Height","Item No.",IF($E64="",$B64,$E64),"code","ea")</t>
  </si>
  <si>
    <t>=NL("First","Item Unit of Measure","Width","Item No.",IF($E64="",$B64,$E64),"code","ea")</t>
  </si>
  <si>
    <t>=NL("First","Item Unit of Measure","Length","Item No.",IF($E64="",$B64,$E64),"code","ea")</t>
  </si>
  <si>
    <t>=NL("First","Item Unit of Measure","Weight","Item No.",IF($E64="",$B64,$E64),"code","ea")</t>
  </si>
  <si>
    <t>=NL("First","Item","Country/Region of Origin Code","No.",IF($E64="",$B64,$E64))</t>
  </si>
  <si>
    <t>=NL("First","Item","Tariff No.","No.",IF($E64="",$B64,$E64))</t>
  </si>
  <si>
    <t>=NL("First","Item Cross Reference","Cross-Reference No.","Item No.",IF($E64="",$B64,$E64),"Cross-Reference Type No.","EAN 13","Unit of Measure","EA","Send to Whse","True")</t>
  </si>
  <si>
    <t>=IF(E65="","",1)</t>
  </si>
  <si>
    <t>=NL("First","Item Unit of Measure","Height","Item No.",IF($E65="",$B65,$E65),"code","ea")</t>
  </si>
  <si>
    <t>=NL("First","Item Unit of Measure","Width","Item No.",IF($E65="",$B65,$E65),"code","ea")</t>
  </si>
  <si>
    <t>=NL("First","Item Unit of Measure","Length","Item No.",IF($E65="",$B65,$E65),"code","ea")</t>
  </si>
  <si>
    <t>=NL("First","Item Unit of Measure","Weight","Item No.",IF($E65="",$B65,$E65),"code","ea")</t>
  </si>
  <si>
    <t>=NL("First","Item","Country/Region of Origin Code","No.",IF($E65="",$B65,$E65))</t>
  </si>
  <si>
    <t>=NL("First","Item","Tariff No.","No.",IF($E65="",$B65,$E65))</t>
  </si>
  <si>
    <t>=NL("First","Item Cross Reference","Cross-Reference No.","Item No.",IF($E65="",$B65,$E65),"Cross-Reference Type No.","EAN 13","Unit of Measure","EA","Send to Whse","True")</t>
  </si>
  <si>
    <t>=NL("First","Item Cross Reference","Cross-Reference No.","Item No.",IF($E66="",$B66,$E66),"Cross-Reference Type No.","EAN 13","Unit of Measure","EA","Send to Whse","True")</t>
  </si>
  <si>
    <t>=IF(E67="","",1)</t>
  </si>
  <si>
    <t>=NL("First","Item Unit of Measure","Height","Item No.",IF($E67="",$B67,$E67),"code","ea")</t>
  </si>
  <si>
    <t>=NL("First","Item Unit of Measure","Width","Item No.",IF($E67="",$B67,$E67),"code","ea")</t>
  </si>
  <si>
    <t>=NL("First","Item Unit of Measure","Length","Item No.",IF($E67="",$B67,$E67),"code","ea")</t>
  </si>
  <si>
    <t>=NL("First","Item Unit of Measure","Weight","Item No.",IF($E67="",$B67,$E67),"code","ea")</t>
  </si>
  <si>
    <t>=NL("First","Item","Country/Region of Origin Code","No.",IF($E67="",$B67,$E67))</t>
  </si>
  <si>
    <t>=NL("First","Item","Tariff No.","No.",IF($E67="",$B67,$E67))</t>
  </si>
  <si>
    <t>=NL("First","Item Cross Reference","Cross-Reference No.","Item No.",IF($E67="",$B67,$E67),"Cross-Reference Type No.","EAN 13","Unit of Measure","EA","Send to Whse","True")</t>
  </si>
  <si>
    <t>=IF(E68="","",1)</t>
  </si>
  <si>
    <t>=NL("First","Item Unit of Measure","Height","Item No.",IF($E68="",$B68,$E68),"code","ea")</t>
  </si>
  <si>
    <t>=NL("First","Item Unit of Measure","Width","Item No.",IF($E68="",$B68,$E68),"code","ea")</t>
  </si>
  <si>
    <t>=NL("First","Item Unit of Measure","Length","Item No.",IF($E68="",$B68,$E68),"code","ea")</t>
  </si>
  <si>
    <t>=NL("First","Item Unit of Measure","Weight","Item No.",IF($E68="",$B68,$E68),"code","ea")</t>
  </si>
  <si>
    <t>=NL("First","Item","Country/Region of Origin Code","No.",IF($E68="",$B68,$E68))</t>
  </si>
  <si>
    <t>=NL("First","Item","Tariff No.","No.",IF($E68="",$B68,$E68))</t>
  </si>
  <si>
    <t>=NL("First","Item Cross Reference","Cross-Reference No.","Item No.",IF($E68="",$B68,$E68),"Cross-Reference Type No.","EAN 13","Unit of Measure","EA","Send to Whse","True")</t>
  </si>
  <si>
    <t>=NL("First","Item Cross Reference","Cross-Reference No.","Item No.",IF($E69="",$B69,$E69),"Cross-Reference Type No.","EAN 13","Unit of Measure","EA","Send to Whse","True")</t>
  </si>
  <si>
    <t>=IF(E70="","",1)</t>
  </si>
  <si>
    <t>=NL("First","Item Unit of Measure","Height","Item No.",IF($E70="",$B70,$E70),"code","ea")</t>
  </si>
  <si>
    <t>=NL("First","Item Unit of Measure","Width","Item No.",IF($E70="",$B70,$E70),"code","ea")</t>
  </si>
  <si>
    <t>=NL("First","Item Unit of Measure","Length","Item No.",IF($E70="",$B70,$E70),"code","ea")</t>
  </si>
  <si>
    <t>=NL("First","Item Unit of Measure","Weight","Item No.",IF($E70="",$B70,$E70),"code","ea")</t>
  </si>
  <si>
    <t>=NL("First","Item","Country/Region of Origin Code","No.",IF($E70="",$B70,$E70))</t>
  </si>
  <si>
    <t>=NL("First","Item","Tariff No.","No.",IF($E70="",$B70,$E70))</t>
  </si>
  <si>
    <t>=NL("First","Item Cross Reference","Cross-Reference No.","Item No.",IF($E70="",$B70,$E70),"Cross-Reference Type No.","EAN 13","Unit of Measure","EA","Send to Whse","True")</t>
  </si>
  <si>
    <t>=IF(E71="","",1)</t>
  </si>
  <si>
    <t>=NL("First","Item Unit of Measure","Height","Item No.",IF($E71="",$B71,$E71),"code","ea")</t>
  </si>
  <si>
    <t>=NL("First","Item Unit of Measure","Width","Item No.",IF($E71="",$B71,$E71),"code","ea")</t>
  </si>
  <si>
    <t>=NL("First","Item Unit of Measure","Length","Item No.",IF($E71="",$B71,$E71),"code","ea")</t>
  </si>
  <si>
    <t>=NL("First","Item Unit of Measure","Weight","Item No.",IF($E71="",$B71,$E71),"code","ea")</t>
  </si>
  <si>
    <t>=NL("First","Item","Country/Region of Origin Code","No.",IF($E71="",$B71,$E71))</t>
  </si>
  <si>
    <t>=NL("First","Item","Tariff No.","No.",IF($E71="",$B71,$E71))</t>
  </si>
  <si>
    <t>=NL("First","Item Cross Reference","Cross-Reference No.","Item No.",IF($E71="",$B71,$E71),"Cross-Reference Type No.","EAN 13","Unit of Measure","EA","Send to Whse","True")</t>
  </si>
  <si>
    <t>=NL("First","Item Cross Reference","Cross-Reference No.","Item No.",IF($E72="",$B72,$E72),"Cross-Reference Type No.","EAN 13","Unit of Measure","EA","Send to Whse","True")</t>
  </si>
  <si>
    <t>=NL("First","Item Unit of Measure","Height","Item No.",IF($E73="",$B73,$E73),"code","ea")</t>
  </si>
  <si>
    <t>=NL("First","Item Unit of Measure","Width","Item No.",IF($E73="",$B73,$E73),"code","ea")</t>
  </si>
  <si>
    <t>=NL("First","Item Unit of Measure","Length","Item No.",IF($E73="",$B73,$E73),"code","ea")</t>
  </si>
  <si>
    <t>=NL("First","Item Unit of Measure","Weight","Item No.",IF($E73="",$B73,$E73),"code","ea")</t>
  </si>
  <si>
    <t>=NL("First","Item","Country/Region of Origin Code","No.",IF($E73="",$B73,$E73))</t>
  </si>
  <si>
    <t>=NL("First","Item","Tariff No.","No.",IF($E73="",$B73,$E73))</t>
  </si>
  <si>
    <t>=NL("First","Item Cross Reference","Cross-Reference No.","Item No.",IF($E73="",$B73,$E73),"Cross-Reference Type No.","EAN 13","Unit of Measure","EA","Send to Whse","True")</t>
  </si>
  <si>
    <t>=NL("First","Item Unit of Measure","Height","Item No.",IF($E74="",$B74,$E74),"code","ea")</t>
  </si>
  <si>
    <t>=NL("First","Item Unit of Measure","Width","Item No.",IF($E74="",$B74,$E74),"code","ea")</t>
  </si>
  <si>
    <t>=NL("First","Item Unit of Measure","Length","Item No.",IF($E74="",$B74,$E74),"code","ea")</t>
  </si>
  <si>
    <t>=NL("First","Item Unit of Measure","Weight","Item No.",IF($E74="",$B74,$E74),"code","ea")</t>
  </si>
  <si>
    <t>=NL("First","Item","Country/Region of Origin Code","No.",IF($E74="",$B74,$E74))</t>
  </si>
  <si>
    <t>=NL("First","Item","Tariff No.","No.",IF($E74="",$B74,$E74))</t>
  </si>
  <si>
    <t>=NL("First","Item Cross Reference","Cross-Reference No.","Item No.",IF($E74="",$B74,$E74),"Cross-Reference Type No.","EAN 13","Unit of Measure","EA","Send to Whse","True")</t>
  </si>
  <si>
    <t>=NL("First","Item Unit of Measure","Height","Item No.",IF($E75="",$B75,$E75),"code","ea")</t>
  </si>
  <si>
    <t>=NL("First","Item Unit of Measure","Width","Item No.",IF($E75="",$B75,$E75),"code","ea")</t>
  </si>
  <si>
    <t>=NL("First","Item Unit of Measure","Length","Item No.",IF($E75="",$B75,$E75),"code","ea")</t>
  </si>
  <si>
    <t>=NL("First","Item Unit of Measure","Weight","Item No.",IF($E75="",$B75,$E75),"code","ea")</t>
  </si>
  <si>
    <t>=NL("First","Item","Country/Region of Origin Code","No.",IF($E75="",$B75,$E75))</t>
  </si>
  <si>
    <t>=NL("First","Item","Tariff No.","No.",IF($E75="",$B75,$E75))</t>
  </si>
  <si>
    <t>=NL("First","Item Cross Reference","Cross-Reference No.","Item No.",IF($E75="",$B75,$E75),"Cross-Reference Type No.","EAN 13","Unit of Measure","EA","Send to Whse","True")</t>
  </si>
  <si>
    <t>=NL("First","Item Unit of Measure","Height","Item No.",IF($E76="",$B76,$E76),"code","ea")</t>
  </si>
  <si>
    <t>=NL("First","Item Unit of Measure","Width","Item No.",IF($E76="",$B76,$E76),"code","ea")</t>
  </si>
  <si>
    <t>=NL("First","Item Unit of Measure","Length","Item No.",IF($E76="",$B76,$E76),"code","ea")</t>
  </si>
  <si>
    <t>=NL("First","Item Unit of Measure","Weight","Item No.",IF($E76="",$B76,$E76),"code","ea")</t>
  </si>
  <si>
    <t>=NL("First","Item","Country/Region of Origin Code","No.",IF($E76="",$B76,$E76))</t>
  </si>
  <si>
    <t>=NL("First","Item","Tariff No.","No.",IF($E76="",$B76,$E76))</t>
  </si>
  <si>
    <t>=NL("First","Item Cross Reference","Cross-Reference No.","Item No.",IF($E76="",$B76,$E76),"Cross-Reference Type No.","EAN 13","Unit of Measure","EA","Send to Whse","True")</t>
  </si>
  <si>
    <t>=NL("First","Item Unit of Measure","Height","Item No.",IF($E77="",$B77,$E77),"code","ea")</t>
  </si>
  <si>
    <t>=NL("First","Item Unit of Measure","Width","Item No.",IF($E77="",$B77,$E77),"code","ea")</t>
  </si>
  <si>
    <t>=NL("First","Item Unit of Measure","Length","Item No.",IF($E77="",$B77,$E77),"code","ea")</t>
  </si>
  <si>
    <t>=NL("First","Item Unit of Measure","Weight","Item No.",IF($E77="",$B77,$E77),"code","ea")</t>
  </si>
  <si>
    <t>=NL("First","Item","Country/Region of Origin Code","No.",IF($E77="",$B77,$E77))</t>
  </si>
  <si>
    <t>=NL("First","Item","Tariff No.","No.",IF($E77="",$B77,$E77))</t>
  </si>
  <si>
    <t>=NL("First","Item Cross Reference","Cross-Reference No.","Item No.",IF($E77="",$B77,$E77),"Cross-Reference Type No.","EAN 13","Unit of Measure","EA","Send to Whse","True")</t>
  </si>
  <si>
    <t>=NL("First","Item Unit of Measure","Height","Item No.",IF($E78="",$B78,$E78),"code","ea")</t>
  </si>
  <si>
    <t>=NL("First","Item Unit of Measure","Width","Item No.",IF($E78="",$B78,$E78),"code","ea")</t>
  </si>
  <si>
    <t>=NL("First","Item Unit of Measure","Length","Item No.",IF($E78="",$B78,$E78),"code","ea")</t>
  </si>
  <si>
    <t>=NL("First","Item Unit of Measure","Weight","Item No.",IF($E78="",$B78,$E78),"code","ea")</t>
  </si>
  <si>
    <t>=NL("First","Item","Country/Region of Origin Code","No.",IF($E78="",$B78,$E78))</t>
  </si>
  <si>
    <t>=NL("First","Item","Tariff No.","No.",IF($E78="",$B78,$E78))</t>
  </si>
  <si>
    <t>=NL("First","Item Cross Reference","Cross-Reference No.","Item No.",IF($E78="",$B78,$E78),"Cross-Reference Type No.","EAN 13","Unit of Measure","EA","Send to Whse","True")</t>
  </si>
  <si>
    <t>=NL("First","Item Unit of Measure","Height","Item No.",IF($E79="",$B79,$E79),"code","ea")</t>
  </si>
  <si>
    <t>=NL("First","Item Unit of Measure","Width","Item No.",IF($E79="",$B79,$E79),"code","ea")</t>
  </si>
  <si>
    <t>=NL("First","Item Unit of Measure","Length","Item No.",IF($E79="",$B79,$E79),"code","ea")</t>
  </si>
  <si>
    <t>=NL("First","Item Unit of Measure","Weight","Item No.",IF($E79="",$B79,$E79),"code","ea")</t>
  </si>
  <si>
    <t>=NL("First","Item","Country/Region of Origin Code","No.",IF($E79="",$B79,$E79))</t>
  </si>
  <si>
    <t>=NL("First","Item","Tariff No.","No.",IF($E79="",$B79,$E79))</t>
  </si>
  <si>
    <t>=NL("First","Item Cross Reference","Cross-Reference No.","Item No.",IF($E79="",$B79,$E79),"Cross-Reference Type No.","EAN 13","Unit of Measure","EA","Send to Whse","True")</t>
  </si>
  <si>
    <t>=NL("First","Item Unit of Measure","Height","Item No.",IF($E80="",$B80,$E80),"code","ea")</t>
  </si>
  <si>
    <t>=NL("First","Item Unit of Measure","Width","Item No.",IF($E80="",$B80,$E80),"code","ea")</t>
  </si>
  <si>
    <t>=NL("First","Item Unit of Measure","Length","Item No.",IF($E80="",$B80,$E80),"code","ea")</t>
  </si>
  <si>
    <t>=NL("First","Item Unit of Measure","Weight","Item No.",IF($E80="",$B80,$E80),"code","ea")</t>
  </si>
  <si>
    <t>=NL("First","Item","Country/Region of Origin Code","No.",IF($E80="",$B80,$E80))</t>
  </si>
  <si>
    <t>=NL("First","Item","Tariff No.","No.",IF($E80="",$B80,$E80))</t>
  </si>
  <si>
    <t>=NL("First","Item Cross Reference","Cross-Reference No.","Item No.",IF($E80="",$B80,$E80),"Cross-Reference Type No.","EAN 13","Unit of Measure","EA","Send to Whse","True")</t>
  </si>
  <si>
    <t>=NL("First","Item Unit of Measure","Height","Item No.",IF($E81="",$B81,$E81),"code","ea")</t>
  </si>
  <si>
    <t>=NL("First","Item Unit of Measure","Width","Item No.",IF($E81="",$B81,$E81),"code","ea")</t>
  </si>
  <si>
    <t>=NL("First","Item Unit of Measure","Length","Item No.",IF($E81="",$B81,$E81),"code","ea")</t>
  </si>
  <si>
    <t>=NL("First","Item Unit of Measure","Weight","Item No.",IF($E81="",$B81,$E81),"code","ea")</t>
  </si>
  <si>
    <t>=NL("First","Item","Country/Region of Origin Code","No.",IF($E81="",$B81,$E81))</t>
  </si>
  <si>
    <t>=NL("First","Item","Tariff No.","No.",IF($E81="",$B81,$E81))</t>
  </si>
  <si>
    <t>=NL("First","Item Cross Reference","Cross-Reference No.","Item No.",IF($E81="",$B81,$E81),"Cross-Reference Type No.","EAN 13","Unit of Measure","EA","Send to Whse","True")</t>
  </si>
  <si>
    <t>=NL("First","Item Unit of Measure","Height","Item No.",IF($E82="",$B82,$E82),"code","ea")</t>
  </si>
  <si>
    <t>=NL("First","Item Unit of Measure","Width","Item No.",IF($E82="",$B82,$E82),"code","ea")</t>
  </si>
  <si>
    <t>=NL("First","Item Unit of Measure","Length","Item No.",IF($E82="",$B82,$E82),"code","ea")</t>
  </si>
  <si>
    <t>=NL("First","Item Unit of Measure","Weight","Item No.",IF($E82="",$B82,$E82),"code","ea")</t>
  </si>
  <si>
    <t>=NL("First","Item","Country/Region of Origin Code","No.",IF($E82="",$B82,$E82))</t>
  </si>
  <si>
    <t>=NL("First","Item","Tariff No.","No.",IF($E82="",$B82,$E82))</t>
  </si>
  <si>
    <t>=NL("First","Item Cross Reference","Cross-Reference No.","Item No.",IF($E82="",$B82,$E82),"Cross-Reference Type No.","EAN 13","Unit of Measure","EA","Send to Whse","True")</t>
  </si>
  <si>
    <t>=NL("First","Item Unit of Measure","Height","Item No.",IF($E83="",$B83,$E83),"code","ea")</t>
  </si>
  <si>
    <t>=NL("First","Item Unit of Measure","Width","Item No.",IF($E83="",$B83,$E83),"code","ea")</t>
  </si>
  <si>
    <t>=NL("First","Item Unit of Measure","Length","Item No.",IF($E83="",$B83,$E83),"code","ea")</t>
  </si>
  <si>
    <t>=NL("First","Item Unit of Measure","Weight","Item No.",IF($E83="",$B83,$E83),"code","ea")</t>
  </si>
  <si>
    <t>=NL("First","Item","Country/Region of Origin Code","No.",IF($E83="",$B83,$E83))</t>
  </si>
  <si>
    <t>=NL("First","Item","Tariff No.","No.",IF($E83="",$B83,$E83))</t>
  </si>
  <si>
    <t>=NL("First","Item Cross Reference","Cross-Reference No.","Item No.",IF($E83="",$B83,$E83),"Cross-Reference Type No.","EAN 13","Unit of Measure","EA","Send to Whse","True")</t>
  </si>
  <si>
    <t>=NL("First","Item Unit of Measure","Height","Item No.",IF($E84="",$B84,$E84),"code","ea")</t>
  </si>
  <si>
    <t>=NL("First","Item Unit of Measure","Width","Item No.",IF($E84="",$B84,$E84),"code","ea")</t>
  </si>
  <si>
    <t>=NL("First","Item Unit of Measure","Length","Item No.",IF($E84="",$B84,$E84),"code","ea")</t>
  </si>
  <si>
    <t>=NL("First","Item Unit of Measure","Weight","Item No.",IF($E84="",$B84,$E84),"code","ea")</t>
  </si>
  <si>
    <t>=NL("First","Item","Country/Region of Origin Code","No.",IF($E84="",$B84,$E84))</t>
  </si>
  <si>
    <t>=NL("First","Item","Tariff No.","No.",IF($E84="",$B84,$E84))</t>
  </si>
  <si>
    <t>=NL("First","Item Cross Reference","Cross-Reference No.","Item No.",IF($E84="",$B84,$E84),"Cross-Reference Type No.","EAN 13","Unit of Measure","EA","Send to Whse","True")</t>
  </si>
  <si>
    <t>=NL("First","Item Unit of Measure","Height","Item No.",IF($E85="",$B85,$E85),"code","ea")</t>
  </si>
  <si>
    <t>=NL("First","Item Unit of Measure","Width","Item No.",IF($E85="",$B85,$E85),"code","ea")</t>
  </si>
  <si>
    <t>=NL("First","Item Unit of Measure","Length","Item No.",IF($E85="",$B85,$E85),"code","ea")</t>
  </si>
  <si>
    <t>=NL("First","Item Unit of Measure","Weight","Item No.",IF($E85="",$B85,$E85),"code","ea")</t>
  </si>
  <si>
    <t>=NL("First","Item","Country/Region of Origin Code","No.",IF($E85="",$B85,$E85))</t>
  </si>
  <si>
    <t>=NL("First","Item","Tariff No.","No.",IF($E85="",$B85,$E85))</t>
  </si>
  <si>
    <t>=NL("First","Item Cross Reference","Cross-Reference No.","Item No.",IF($E85="",$B85,$E85),"Cross-Reference Type No.","EAN 13","Unit of Measure","EA","Send to Whse","True")</t>
  </si>
  <si>
    <t>=NL("First","Item Unit of Measure","Height","Item No.",IF($E86="",$B86,$E86),"code","ea")</t>
  </si>
  <si>
    <t>=NL("First","Item Unit of Measure","Width","Item No.",IF($E86="",$B86,$E86),"code","ea")</t>
  </si>
  <si>
    <t>=NL("First","Item Unit of Measure","Length","Item No.",IF($E86="",$B86,$E86),"code","ea")</t>
  </si>
  <si>
    <t>=NL("First","Item Unit of Measure","Weight","Item No.",IF($E86="",$B86,$E86),"code","ea")</t>
  </si>
  <si>
    <t>=NL("First","Item","Country/Region of Origin Code","No.",IF($E86="",$B86,$E86))</t>
  </si>
  <si>
    <t>=NL("First","Item","Tariff No.","No.",IF($E86="",$B86,$E86))</t>
  </si>
  <si>
    <t>=NL("First","Item Cross Reference","Cross-Reference No.","Item No.",IF($E86="",$B86,$E86),"Cross-Reference Type No.","EAN 13","Unit of Measure","EA","Send to Whse","True")</t>
  </si>
  <si>
    <t>=NL("First","Item Unit of Measure","Height","Item No.",IF($E87="",$B87,$E87),"code","ea")</t>
  </si>
  <si>
    <t>=NL("First","Item Unit of Measure","Width","Item No.",IF($E87="",$B87,$E87),"code","ea")</t>
  </si>
  <si>
    <t>=NL("First","Item Unit of Measure","Length","Item No.",IF($E87="",$B87,$E87),"code","ea")</t>
  </si>
  <si>
    <t>=NL("First","Item Unit of Measure","Weight","Item No.",IF($E87="",$B87,$E87),"code","ea")</t>
  </si>
  <si>
    <t>=NL("First","Item","Country/Region of Origin Code","No.",IF($E87="",$B87,$E87))</t>
  </si>
  <si>
    <t>=NL("First","Item","Tariff No.","No.",IF($E87="",$B87,$E87))</t>
  </si>
  <si>
    <t>=NL("First","Item Cross Reference","Cross-Reference No.","Item No.",IF($E87="",$B87,$E87),"Cross-Reference Type No.","EAN 13","Unit of Measure","EA","Send to Whse","True")</t>
  </si>
  <si>
    <t>=NL("First","Item Unit of Measure","Height","Item No.",IF($E88="",$B88,$E88),"code","ea")</t>
  </si>
  <si>
    <t>=NL("First","Item Unit of Measure","Width","Item No.",IF($E88="",$B88,$E88),"code","ea")</t>
  </si>
  <si>
    <t>=NL("First","Item Unit of Measure","Length","Item No.",IF($E88="",$B88,$E88),"code","ea")</t>
  </si>
  <si>
    <t>=NL("First","Item Unit of Measure","Weight","Item No.",IF($E88="",$B88,$E88),"code","ea")</t>
  </si>
  <si>
    <t>=NL("First","Item","Country/Region of Origin Code","No.",IF($E88="",$B88,$E88))</t>
  </si>
  <si>
    <t>=NL("First","Item","Tariff No.","No.",IF($E88="",$B88,$E88))</t>
  </si>
  <si>
    <t>=NL("First","Item Cross Reference","Cross-Reference No.","Item No.",IF($E88="",$B88,$E88),"Cross-Reference Type No.","EAN 13","Unit of Measure","EA","Send to Whse","True")</t>
  </si>
  <si>
    <t>=NL("First","Item Unit of Measure","Height","Item No.",IF($E89="",$B89,$E89),"code","ea")</t>
  </si>
  <si>
    <t>=NL("First","Item Unit of Measure","Width","Item No.",IF($E89="",$B89,$E89),"code","ea")</t>
  </si>
  <si>
    <t>=NL("First","Item Unit of Measure","Length","Item No.",IF($E89="",$B89,$E89),"code","ea")</t>
  </si>
  <si>
    <t>=NL("First","Item Unit of Measure","Weight","Item No.",IF($E89="",$B89,$E89),"code","ea")</t>
  </si>
  <si>
    <t>=NL("First","Item","Country/Region of Origin Code","No.",IF($E89="",$B89,$E89))</t>
  </si>
  <si>
    <t>=NL("First","Item","Tariff No.","No.",IF($E89="",$B89,$E89))</t>
  </si>
  <si>
    <t>=NL("First","Item Cross Reference","Cross-Reference No.","Item No.",IF($E89="",$B89,$E89),"Cross-Reference Type No.","EAN 13","Unit of Measure","EA","Send to Whse","True")</t>
  </si>
  <si>
    <t>=NL("First","Item Unit of Measure","Height","Item No.",IF($E90="",$B90,$E90),"code","ea")</t>
  </si>
  <si>
    <t>=NL("First","Item Unit of Measure","Width","Item No.",IF($E90="",$B90,$E90),"code","ea")</t>
  </si>
  <si>
    <t>=NL("First","Item Unit of Measure","Length","Item No.",IF($E90="",$B90,$E90),"code","ea")</t>
  </si>
  <si>
    <t>=NL("First","Item Unit of Measure","Weight","Item No.",IF($E90="",$B90,$E90),"code","ea")</t>
  </si>
  <si>
    <t>=NL("First","Item","Country/Region of Origin Code","No.",IF($E90="",$B90,$E90))</t>
  </si>
  <si>
    <t>=NL("First","Item","Tariff No.","No.",IF($E90="",$B90,$E90))</t>
  </si>
  <si>
    <t>=NL("First","Item Cross Reference","Cross-Reference No.","Item No.",IF($E90="",$B90,$E90),"Cross-Reference Type No.","EAN 13","Unit of Measure","EA","Send to Whse","True")</t>
  </si>
  <si>
    <t>=NL("First","Item Unit of Measure","Height","Item No.",IF($E91="",$B91,$E91),"code","ea")</t>
  </si>
  <si>
    <t>=NL("First","Item Unit of Measure","Width","Item No.",IF($E91="",$B91,$E91),"code","ea")</t>
  </si>
  <si>
    <t>=NL("First","Item Unit of Measure","Length","Item No.",IF($E91="",$B91,$E91),"code","ea")</t>
  </si>
  <si>
    <t>=NL("First","Item Unit of Measure","Weight","Item No.",IF($E91="",$B91,$E91),"code","ea")</t>
  </si>
  <si>
    <t>=NL("First","Item","Country/Region of Origin Code","No.",IF($E91="",$B91,$E91))</t>
  </si>
  <si>
    <t>=NL("First","Item","Tariff No.","No.",IF($E91="",$B91,$E91))</t>
  </si>
  <si>
    <t>=NL("First","Item Cross Reference","Cross-Reference No.","Item No.",IF($E91="",$B91,$E91),"Cross-Reference Type No.","EAN 13","Unit of Measure","EA","Send to Whse","True")</t>
  </si>
  <si>
    <t>=NL("First","Item Unit of Measure","Height","Item No.",IF($E92="",$B92,$E92),"code","ea")</t>
  </si>
  <si>
    <t>=NL("First","Item Unit of Measure","Width","Item No.",IF($E92="",$B92,$E92),"code","ea")</t>
  </si>
  <si>
    <t>=NL("First","Item Unit of Measure","Length","Item No.",IF($E92="",$B92,$E92),"code","ea")</t>
  </si>
  <si>
    <t>=NL("First","Item Unit of Measure","Weight","Item No.",IF($E92="",$B92,$E92),"code","ea")</t>
  </si>
  <si>
    <t>=NL("First","Item","Country/Region of Origin Code","No.",IF($E92="",$B92,$E92))</t>
  </si>
  <si>
    <t>=NL("First","Item","Tariff No.","No.",IF($E92="",$B92,$E92))</t>
  </si>
  <si>
    <t>=NL("First","Item Cross Reference","Cross-Reference No.","Item No.",IF($E92="",$B92,$E92),"Cross-Reference Type No.","EAN 13","Unit of Measure","EA","Send to Whse","True")</t>
  </si>
  <si>
    <t>=NL("First","Item Unit of Measure","Height","Item No.",IF($E93="",$B93,$E93),"code","ea")</t>
  </si>
  <si>
    <t>=NL("First","Item Unit of Measure","Width","Item No.",IF($E93="",$B93,$E93),"code","ea")</t>
  </si>
  <si>
    <t>=NL("First","Item Unit of Measure","Length","Item No.",IF($E93="",$B93,$E93),"code","ea")</t>
  </si>
  <si>
    <t>=NL("First","Item Unit of Measure","Weight","Item No.",IF($E93="",$B93,$E93),"code","ea")</t>
  </si>
  <si>
    <t>=NL("First","Item","Country/Region of Origin Code","No.",IF($E93="",$B93,$E93))</t>
  </si>
  <si>
    <t>=NL("First","Item","Tariff No.","No.",IF($E93="",$B93,$E93))</t>
  </si>
  <si>
    <t>=NL("First","Item Cross Reference","Cross-Reference No.","Item No.",IF($E93="",$B93,$E93),"Cross-Reference Type No.","EAN 13","Unit of Measure","EA","Send to Whse","True")</t>
  </si>
  <si>
    <t>=NL("First","Item Unit of Measure","Height","Item No.",IF($E94="",$B94,$E94),"code","ea")</t>
  </si>
  <si>
    <t>=NL("First","Item Unit of Measure","Width","Item No.",IF($E94="",$B94,$E94),"code","ea")</t>
  </si>
  <si>
    <t>=NL("First","Item Unit of Measure","Length","Item No.",IF($E94="",$B94,$E94),"code","ea")</t>
  </si>
  <si>
    <t>=NL("First","Item Unit of Measure","Weight","Item No.",IF($E94="",$B94,$E94),"code","ea")</t>
  </si>
  <si>
    <t>=NL("First","Item","Country/Region of Origin Code","No.",IF($E94="",$B94,$E94))</t>
  </si>
  <si>
    <t>=NL("First","Item","Tariff No.","No.",IF($E94="",$B94,$E94))</t>
  </si>
  <si>
    <t>=NL("First","Item Cross Reference","Cross-Reference No.","Item No.",IF($E94="",$B94,$E94),"Cross-Reference Type No.","EAN 13","Unit of Measure","EA","Send to Whse","True")</t>
  </si>
  <si>
    <t>=NL("First","Item Unit of Measure","Height","Item No.",IF($E95="",$B95,$E95),"code","ea")</t>
  </si>
  <si>
    <t>=NL("First","Item Unit of Measure","Width","Item No.",IF($E95="",$B95,$E95),"code","ea")</t>
  </si>
  <si>
    <t>=NL("First","Item Unit of Measure","Length","Item No.",IF($E95="",$B95,$E95),"code","ea")</t>
  </si>
  <si>
    <t>=NL("First","Item Unit of Measure","Weight","Item No.",IF($E95="",$B95,$E95),"code","ea")</t>
  </si>
  <si>
    <t>=NL("First","Item","Country/Region of Origin Code","No.",IF($E95="",$B95,$E95))</t>
  </si>
  <si>
    <t>=NL("First","Item","Tariff No.","No.",IF($E95="",$B95,$E95))</t>
  </si>
  <si>
    <t>=NL("First","Item Cross Reference","Cross-Reference No.","Item No.",IF($E95="",$B95,$E95),"Cross-Reference Type No.","EAN 13","Unit of Measure","EA","Send to Whse","True")</t>
  </si>
  <si>
    <t>=NL("First","Item Unit of Measure","Height","Item No.",IF($E96="",$B96,$E96),"code","ea")</t>
  </si>
  <si>
    <t>=NL("First","Item Unit of Measure","Width","Item No.",IF($E96="",$B96,$E96),"code","ea")</t>
  </si>
  <si>
    <t>=NL("First","Item Unit of Measure","Length","Item No.",IF($E96="",$B96,$E96),"code","ea")</t>
  </si>
  <si>
    <t>=NL("First","Item Unit of Measure","Weight","Item No.",IF($E96="",$B96,$E96),"code","ea")</t>
  </si>
  <si>
    <t>=NL("First","Item","Country/Region of Origin Code","No.",IF($E96="",$B96,$E96))</t>
  </si>
  <si>
    <t>=NL("First","Item","Tariff No.","No.",IF($E96="",$B96,$E96))</t>
  </si>
  <si>
    <t>=NL("First","Item Cross Reference","Cross-Reference No.","Item No.",IF($E96="",$B96,$E96),"Cross-Reference Type No.","EAN 13","Unit of Measure","EA","Send to Whse","True")</t>
  </si>
  <si>
    <t>=NL("First","Item Unit of Measure","Height","Item No.",IF($E97="",$B97,$E97),"code","ea")</t>
  </si>
  <si>
    <t>=NL("First","Item Unit of Measure","Width","Item No.",IF($E97="",$B97,$E97),"code","ea")</t>
  </si>
  <si>
    <t>=NL("First","Item Unit of Measure","Length","Item No.",IF($E97="",$B97,$E97),"code","ea")</t>
  </si>
  <si>
    <t>=NL("First","Item Unit of Measure","Weight","Item No.",IF($E97="",$B97,$E97),"code","ea")</t>
  </si>
  <si>
    <t>=NL("First","Item","Country/Region of Origin Code","No.",IF($E97="",$B97,$E97))</t>
  </si>
  <si>
    <t>=NL("First","Item","Tariff No.","No.",IF($E97="",$B97,$E97))</t>
  </si>
  <si>
    <t>=NL("First","Item Cross Reference","Cross-Reference No.","Item No.",IF($E97="",$B97,$E97),"Cross-Reference Type No.","EAN 13","Unit of Measure","EA","Send to Whse","True")</t>
  </si>
  <si>
    <t>=NL("First","Item Unit of Measure","Height","Item No.",IF($E98="",$B98,$E98),"code","ea")</t>
  </si>
  <si>
    <t>=NL("First","Item Unit of Measure","Width","Item No.",IF($E98="",$B98,$E98),"code","ea")</t>
  </si>
  <si>
    <t>=NL("First","Item Unit of Measure","Length","Item No.",IF($E98="",$B98,$E98),"code","ea")</t>
  </si>
  <si>
    <t>=NL("First","Item Unit of Measure","Weight","Item No.",IF($E98="",$B98,$E98),"code","ea")</t>
  </si>
  <si>
    <t>=NL("First","Item","Country/Region of Origin Code","No.",IF($E98="",$B98,$E98))</t>
  </si>
  <si>
    <t>=NL("First","Item","Tariff No.","No.",IF($E98="",$B98,$E98))</t>
  </si>
  <si>
    <t>=NL("First","Item Cross Reference","Cross-Reference No.","Item No.",IF($E98="",$B98,$E98),"Cross-Reference Type No.","EAN 13","Unit of Measure","EA","Send to Whse","True")</t>
  </si>
  <si>
    <t>=NL("First","Item Unit of Measure","Height","Item No.",IF($E99="",$B99,$E99),"code","ea")</t>
  </si>
  <si>
    <t>=NL("First","Item Unit of Measure","Width","Item No.",IF($E99="",$B99,$E99),"code","ea")</t>
  </si>
  <si>
    <t>=NL("First","Item Unit of Measure","Length","Item No.",IF($E99="",$B99,$E99),"code","ea")</t>
  </si>
  <si>
    <t>=NL("First","Item Unit of Measure","Weight","Item No.",IF($E99="",$B99,$E99),"code","ea")</t>
  </si>
  <si>
    <t>=NL("First","Item","Country/Region of Origin Code","No.",IF($E99="",$B99,$E99))</t>
  </si>
  <si>
    <t>=NL("First","Item","Tariff No.","No.",IF($E99="",$B99,$E99))</t>
  </si>
  <si>
    <t>=NL("First","Item Cross Reference","Cross-Reference No.","Item No.",IF($E99="",$B99,$E99),"Cross-Reference Type No.","EAN 13","Unit of Measure","EA","Send to Whse","True")</t>
  </si>
  <si>
    <t>=NL("First","Item Unit of Measure","Height","Item No.",IF($E100="",$B100,$E100),"code","ea")</t>
  </si>
  <si>
    <t>=NL("First","Item Unit of Measure","Width","Item No.",IF($E100="",$B100,$E100),"code","ea")</t>
  </si>
  <si>
    <t>=NL("First","Item Unit of Measure","Length","Item No.",IF($E100="",$B100,$E100),"code","ea")</t>
  </si>
  <si>
    <t>=NL("First","Item Unit of Measure","Weight","Item No.",IF($E100="",$B100,$E100),"code","ea")</t>
  </si>
  <si>
    <t>=NL("First","Item","Country/Region of Origin Code","No.",IF($E100="",$B100,$E100))</t>
  </si>
  <si>
    <t>=NL("First","Item","Tariff No.","No.",IF($E100="",$B100,$E100))</t>
  </si>
  <si>
    <t>=NL("First","Item Cross Reference","Cross-Reference No.","Item No.",IF($E100="",$B100,$E100),"Cross-Reference Type No.","EAN 13","Unit of Measure","EA","Send to Whse","True")</t>
  </si>
  <si>
    <t>=NL("First","Item Unit of Measure","Height","Item No.",IF($E101="",$B101,$E101),"code","ea")</t>
  </si>
  <si>
    <t>=NL("First","Item Unit of Measure","Width","Item No.",IF($E101="",$B101,$E101),"code","ea")</t>
  </si>
  <si>
    <t>=NL("First","Item Unit of Measure","Length","Item No.",IF($E101="",$B101,$E101),"code","ea")</t>
  </si>
  <si>
    <t>=NL("First","Item Unit of Measure","Weight","Item No.",IF($E101="",$B101,$E101),"code","ea")</t>
  </si>
  <si>
    <t>=NL("First","Item","Country/Region of Origin Code","No.",IF($E101="",$B101,$E101))</t>
  </si>
  <si>
    <t>=NL("First","Item","Tariff No.","No.",IF($E101="",$B101,$E101))</t>
  </si>
  <si>
    <t>=NL("First","Item Cross Reference","Cross-Reference No.","Item No.",IF($E101="",$B101,$E101),"Cross-Reference Type No.","EAN 13","Unit of Measure","EA","Send to Whse","True")</t>
  </si>
  <si>
    <t>=NL("First","Item Unit of Measure","Height","Item No.",IF($E102="",$B102,$E102),"code","ea")</t>
  </si>
  <si>
    <t>=NL("First","Item Unit of Measure","Width","Item No.",IF($E102="",$B102,$E102),"code","ea")</t>
  </si>
  <si>
    <t>=NL("First","Item Unit of Measure","Length","Item No.",IF($E102="",$B102,$E102),"code","ea")</t>
  </si>
  <si>
    <t>=NL("First","Item Unit of Measure","Weight","Item No.",IF($E102="",$B102,$E102),"code","ea")</t>
  </si>
  <si>
    <t>=NL("First","Item","Country/Region of Origin Code","No.",IF($E102="",$B102,$E102))</t>
  </si>
  <si>
    <t>=NL("First","Item","Tariff No.","No.",IF($E102="",$B102,$E102))</t>
  </si>
  <si>
    <t>=NL("First","Item Cross Reference","Cross-Reference No.","Item No.",IF($E102="",$B102,$E102),"Cross-Reference Type No.","EAN 13","Unit of Measure","EA","Send to Whse","True")</t>
  </si>
  <si>
    <t>=NL("First","Item Unit of Measure","Height","Item No.",IF($E103="",$B103,$E103),"code","ea")</t>
  </si>
  <si>
    <t>=NL("First","Item Unit of Measure","Width","Item No.",IF($E103="",$B103,$E103),"code","ea")</t>
  </si>
  <si>
    <t>=NL("First","Item Unit of Measure","Length","Item No.",IF($E103="",$B103,$E103),"code","ea")</t>
  </si>
  <si>
    <t>=NL("First","Item Unit of Measure","Weight","Item No.",IF($E103="",$B103,$E103),"code","ea")</t>
  </si>
  <si>
    <t>=NL("First","Item","Country/Region of Origin Code","No.",IF($E103="",$B103,$E103))</t>
  </si>
  <si>
    <t>=NL("First","Item","Tariff No.","No.",IF($E103="",$B103,$E103))</t>
  </si>
  <si>
    <t>=NL("First","Item Cross Reference","Cross-Reference No.","Item No.",IF($E103="",$B103,$E103),"Cross-Reference Type No.","EAN 13","Unit of Measure","EA","Send to Whse","True")</t>
  </si>
  <si>
    <t>=NL("First","Item Unit of Measure","Height","Item No.",IF($E104="",$B104,$E104),"code","ea")</t>
  </si>
  <si>
    <t>=NL("First","Item Unit of Measure","Width","Item No.",IF($E104="",$B104,$E104),"code","ea")</t>
  </si>
  <si>
    <t>=NL("First","Item Unit of Measure","Length","Item No.",IF($E104="",$B104,$E104),"code","ea")</t>
  </si>
  <si>
    <t>=NL("First","Item Unit of Measure","Weight","Item No.",IF($E104="",$B104,$E104),"code","ea")</t>
  </si>
  <si>
    <t>=NL("First","Item","Country/Region of Origin Code","No.",IF($E104="",$B104,$E104))</t>
  </si>
  <si>
    <t>=NL("First","Item","Tariff No.","No.",IF($E104="",$B104,$E104))</t>
  </si>
  <si>
    <t>=NL("First","Item Cross Reference","Cross-Reference No.","Item No.",IF($E104="",$B104,$E104),"Cross-Reference Type No.","EAN 13","Unit of Measure","EA","Send to Whse","True")</t>
  </si>
  <si>
    <t>=NL("First","Item Unit of Measure","Height","Item No.",IF($E105="",$B105,$E105),"code","ea")</t>
  </si>
  <si>
    <t>=NL("First","Item Unit of Measure","Width","Item No.",IF($E105="",$B105,$E105),"code","ea")</t>
  </si>
  <si>
    <t>=NL("First","Item Unit of Measure","Length","Item No.",IF($E105="",$B105,$E105),"code","ea")</t>
  </si>
  <si>
    <t>=NL("First","Item Unit of Measure","Weight","Item No.",IF($E105="",$B105,$E105),"code","ea")</t>
  </si>
  <si>
    <t>=NL("First","Item","Country/Region of Origin Code","No.",IF($E105="",$B105,$E105))</t>
  </si>
  <si>
    <t>=NL("First","Item","Tariff No.","No.",IF($E105="",$B105,$E105))</t>
  </si>
  <si>
    <t>=NL("First","Item Cross Reference","Cross-Reference No.","Item No.",IF($E105="",$B105,$E105),"Cross-Reference Type No.","EAN 13","Unit of Measure","EA","Send to Whse","True")</t>
  </si>
  <si>
    <t>=NL("First","Item Unit of Measure","Height","Item No.",IF($E106="",$B106,$E106),"code","ea")</t>
  </si>
  <si>
    <t>=NL("First","Item Unit of Measure","Width","Item No.",IF($E106="",$B106,$E106),"code","ea")</t>
  </si>
  <si>
    <t>=NL("First","Item Unit of Measure","Length","Item No.",IF($E106="",$B106,$E106),"code","ea")</t>
  </si>
  <si>
    <t>=NL("First","Item Unit of Measure","Weight","Item No.",IF($E106="",$B106,$E106),"code","ea")</t>
  </si>
  <si>
    <t>=NL("First","Item","Country/Region of Origin Code","No.",IF($E106="",$B106,$E106))</t>
  </si>
  <si>
    <t>=NL("First","Item","Tariff No.","No.",IF($E106="",$B106,$E106))</t>
  </si>
  <si>
    <t>=NL("First","Item Cross Reference","Cross-Reference No.","Item No.",IF($E106="",$B106,$E106),"Cross-Reference Type No.","EAN 13","Unit of Measure","EA","Send to Whse","True")</t>
  </si>
  <si>
    <t>=NL("First","Item Unit of Measure","Height","Item No.",IF($E107="",$B107,$E107),"code","ea")</t>
  </si>
  <si>
    <t>=NL("First","Item Unit of Measure","Width","Item No.",IF($E107="",$B107,$E107),"code","ea")</t>
  </si>
  <si>
    <t>=NL("First","Item Unit of Measure","Length","Item No.",IF($E107="",$B107,$E107),"code","ea")</t>
  </si>
  <si>
    <t>=NL("First","Item Unit of Measure","Weight","Item No.",IF($E107="",$B107,$E107),"code","ea")</t>
  </si>
  <si>
    <t>=NL("First","Item","Country/Region of Origin Code","No.",IF($E107="",$B107,$E107))</t>
  </si>
  <si>
    <t>=NL("First","Item","Tariff No.","No.",IF($E107="",$B107,$E107))</t>
  </si>
  <si>
    <t>=NL("First","Item Cross Reference","Cross-Reference No.","Item No.",IF($E107="",$B107,$E107),"Cross-Reference Type No.","EAN 13","Unit of Measure","EA","Send to Whse","True")</t>
  </si>
  <si>
    <t>=NL("First","Item Unit of Measure","Height","Item No.",IF($E108="",$B108,$E108),"code","ea")</t>
  </si>
  <si>
    <t>=NL("First","Item Unit of Measure","Width","Item No.",IF($E108="",$B108,$E108),"code","ea")</t>
  </si>
  <si>
    <t>=NL("First","Item Unit of Measure","Length","Item No.",IF($E108="",$B108,$E108),"code","ea")</t>
  </si>
  <si>
    <t>=NL("First","Item Unit of Measure","Weight","Item No.",IF($E108="",$B108,$E108),"code","ea")</t>
  </si>
  <si>
    <t>=NL("First","Item","Country/Region of Origin Code","No.",IF($E108="",$B108,$E108))</t>
  </si>
  <si>
    <t>=NL("First","Item","Tariff No.","No.",IF($E108="",$B108,$E108))</t>
  </si>
  <si>
    <t>=NL("First","Item Cross Reference","Cross-Reference No.","Item No.",IF($E108="",$B108,$E108),"Cross-Reference Type No.","EAN 13","Unit of Measure","EA","Send to Whse","True")</t>
  </si>
  <si>
    <t>=NL("First","Item Unit of Measure","Height","Item No.",IF($E109="",$B109,$E109),"code","ea")</t>
  </si>
  <si>
    <t>=NL("First","Item Unit of Measure","Width","Item No.",IF($E109="",$B109,$E109),"code","ea")</t>
  </si>
  <si>
    <t>=NL("First","Item Unit of Measure","Length","Item No.",IF($E109="",$B109,$E109),"code","ea")</t>
  </si>
  <si>
    <t>=NL("First","Item Unit of Measure","Weight","Item No.",IF($E109="",$B109,$E109),"code","ea")</t>
  </si>
  <si>
    <t>=NL("First","Item","Country/Region of Origin Code","No.",IF($E109="",$B109,$E109))</t>
  </si>
  <si>
    <t>=NL("First","Item","Tariff No.","No.",IF($E109="",$B109,$E109))</t>
  </si>
  <si>
    <t>=NL("First","Item Cross Reference","Cross-Reference No.","Item No.",IF($E109="",$B109,$E109),"Cross-Reference Type No.","EAN 13","Unit of Measure","EA","Send to Whse","True")</t>
  </si>
  <si>
    <t>=NL("First","Item Unit of Measure","Height","Item No.",IF($E110="",$B110,$E110),"code","ea")</t>
  </si>
  <si>
    <t>=NL("First","Item Unit of Measure","Width","Item No.",IF($E110="",$B110,$E110),"code","ea")</t>
  </si>
  <si>
    <t>=NL("First","Item Unit of Measure","Length","Item No.",IF($E110="",$B110,$E110),"code","ea")</t>
  </si>
  <si>
    <t>=NL("First","Item Unit of Measure","Weight","Item No.",IF($E110="",$B110,$E110),"code","ea")</t>
  </si>
  <si>
    <t>=NL("First","Item","Country/Region of Origin Code","No.",IF($E110="",$B110,$E110))</t>
  </si>
  <si>
    <t>=NL("First","Item","Tariff No.","No.",IF($E110="",$B110,$E110))</t>
  </si>
  <si>
    <t>=NL("First","Item Cross Reference","Cross-Reference No.","Item No.",IF($E110="",$B110,$E110),"Cross-Reference Type No.","EAN 13","Unit of Measure","EA","Send to Whse","True")</t>
  </si>
  <si>
    <t>=NL("First","Item Unit of Measure","Height","Item No.",IF($E111="",$B111,$E111),"code","ea")</t>
  </si>
  <si>
    <t>=NL("First","Item Unit of Measure","Width","Item No.",IF($E111="",$B111,$E111),"code","ea")</t>
  </si>
  <si>
    <t>=NL("First","Item Unit of Measure","Length","Item No.",IF($E111="",$B111,$E111),"code","ea")</t>
  </si>
  <si>
    <t>=NL("First","Item Unit of Measure","Weight","Item No.",IF($E111="",$B111,$E111),"code","ea")</t>
  </si>
  <si>
    <t>=NL("First","Item","Country/Region of Origin Code","No.",IF($E111="",$B111,$E111))</t>
  </si>
  <si>
    <t>=NL("First","Item","Tariff No.","No.",IF($E111="",$B111,$E111))</t>
  </si>
  <si>
    <t>=NL("First","Item Cross Reference","Cross-Reference No.","Item No.",IF($E111="",$B111,$E111),"Cross-Reference Type No.","EAN 13","Unit of Measure","EA","Send to Whse","True")</t>
  </si>
  <si>
    <t>=NL("First","Item Unit of Measure","Height","Item No.",IF($E112="",$B112,$E112),"code","ea")</t>
  </si>
  <si>
    <t>=NL("First","Item Unit of Measure","Width","Item No.",IF($E112="",$B112,$E112),"code","ea")</t>
  </si>
  <si>
    <t>=NL("First","Item Unit of Measure","Length","Item No.",IF($E112="",$B112,$E112),"code","ea")</t>
  </si>
  <si>
    <t>=NL("First","Item Unit of Measure","Weight","Item No.",IF($E112="",$B112,$E112),"code","ea")</t>
  </si>
  <si>
    <t>=NL("First","Item","Country/Region of Origin Code","No.",IF($E112="",$B112,$E112))</t>
  </si>
  <si>
    <t>=NL("First","Item","Tariff No.","No.",IF($E112="",$B112,$E112))</t>
  </si>
  <si>
    <t>=NL("First","Item Cross Reference","Cross-Reference No.","Item No.",IF($E112="",$B112,$E112),"Cross-Reference Type No.","EAN 13","Unit of Measure","EA","Send to Whse","True")</t>
  </si>
  <si>
    <t>=NL("First","Item Unit of Measure","Height","Item No.",IF($E113="",$B113,$E113),"code","ea")</t>
  </si>
  <si>
    <t>=NL("First","Item Unit of Measure","Width","Item No.",IF($E113="",$B113,$E113),"code","ea")</t>
  </si>
  <si>
    <t>=NL("First","Item Unit of Measure","Length","Item No.",IF($E113="",$B113,$E113),"code","ea")</t>
  </si>
  <si>
    <t>=NL("First","Item Unit of Measure","Weight","Item No.",IF($E113="",$B113,$E113),"code","ea")</t>
  </si>
  <si>
    <t>=NL("First","Item","Country/Region of Origin Code","No.",IF($E113="",$B113,$E113))</t>
  </si>
  <si>
    <t>=NL("First","Item","Tariff No.","No.",IF($E113="",$B113,$E113))</t>
  </si>
  <si>
    <t>=NL("First","Item Cross Reference","Cross-Reference No.","Item No.",IF($E113="",$B113,$E113),"Cross-Reference Type No.","EAN 13","Unit of Measure","EA","Send to Whse","True")</t>
  </si>
  <si>
    <t>=NL("First","Item Unit of Measure","Height","Item No.",IF($E114="",$B114,$E114),"code","ea")</t>
  </si>
  <si>
    <t>=NL("First","Item Unit of Measure","Width","Item No.",IF($E114="",$B114,$E114),"code","ea")</t>
  </si>
  <si>
    <t>=NL("First","Item Unit of Measure","Length","Item No.",IF($E114="",$B114,$E114),"code","ea")</t>
  </si>
  <si>
    <t>=NL("First","Item Unit of Measure","Weight","Item No.",IF($E114="",$B114,$E114),"code","ea")</t>
  </si>
  <si>
    <t>=NL("First","Item","Country/Region of Origin Code","No.",IF($E114="",$B114,$E114))</t>
  </si>
  <si>
    <t>=NL("First","Item","Tariff No.","No.",IF($E114="",$B114,$E114))</t>
  </si>
  <si>
    <t>=NL("First","Item Cross Reference","Cross-Reference No.","Item No.",IF($E114="",$B114,$E114),"Cross-Reference Type No.","EAN 13","Unit of Measure","EA","Send to Whse","True")</t>
  </si>
  <si>
    <t>=NL("First","Item Unit of Measure","Height","Item No.",IF($E115="",$B115,$E115),"code","ea")</t>
  </si>
  <si>
    <t>=NL("First","Item Unit of Measure","Width","Item No.",IF($E115="",$B115,$E115),"code","ea")</t>
  </si>
  <si>
    <t>=NL("First","Item Unit of Measure","Length","Item No.",IF($E115="",$B115,$E115),"code","ea")</t>
  </si>
  <si>
    <t>=NL("First","Item Unit of Measure","Weight","Item No.",IF($E115="",$B115,$E115),"code","ea")</t>
  </si>
  <si>
    <t>=NL("First","Item","Country/Region of Origin Code","No.",IF($E115="",$B115,$E115))</t>
  </si>
  <si>
    <t>=NL("First","Item","Tariff No.","No.",IF($E115="",$B115,$E115))</t>
  </si>
  <si>
    <t>=NL("First","Item Cross Reference","Cross-Reference No.","Item No.",IF($E115="",$B115,$E115),"Cross-Reference Type No.","EAN 13","Unit of Measure","EA","Send to Whse","True")</t>
  </si>
  <si>
    <t>=IF(E116="","",1)</t>
  </si>
  <si>
    <t>=NL("First","Item Unit of Measure","Height","Item No.",IF($E116="",$B116,$E116),"code","ea")</t>
  </si>
  <si>
    <t>=NL("First","Item Unit of Measure","Width","Item No.",IF($E116="",$B116,$E116),"code","ea")</t>
  </si>
  <si>
    <t>=NL("First","Item Unit of Measure","Length","Item No.",IF($E116="",$B116,$E116),"code","ea")</t>
  </si>
  <si>
    <t>=NL("First","Item Unit of Measure","Weight","Item No.",IF($E116="",$B116,$E116),"code","ea")</t>
  </si>
  <si>
    <t>=NL("First","Item","Country/Region of Origin Code","No.",IF($E116="",$B116,$E116))</t>
  </si>
  <si>
    <t>=NL("First","Item","Tariff No.","No.",IF($E116="",$B116,$E116))</t>
  </si>
  <si>
    <t>=NL("First","Item Cross Reference","Cross-Reference No.","Item No.",IF($E116="",$B116,$E116),"Cross-Reference Type No.","EAN 13","Unit of Measure","EA","Send to Whse","True")</t>
  </si>
  <si>
    <t>=IF(E117="","",1)</t>
  </si>
  <si>
    <t>=NL("First","Item Unit of Measure","Height","Item No.",IF($E117="",$B117,$E117),"code","ea")</t>
  </si>
  <si>
    <t>=NL("First","Item Unit of Measure","Width","Item No.",IF($E117="",$B117,$E117),"code","ea")</t>
  </si>
  <si>
    <t>=NL("First","Item Unit of Measure","Length","Item No.",IF($E117="",$B117,$E117),"code","ea")</t>
  </si>
  <si>
    <t>=NL("First","Item Unit of Measure","Weight","Item No.",IF($E117="",$B117,$E117),"code","ea")</t>
  </si>
  <si>
    <t>=NL("First","Item","Country/Region of Origin Code","No.",IF($E117="",$B117,$E117))</t>
  </si>
  <si>
    <t>=NL("First","Item","Tariff No.","No.",IF($E117="",$B117,$E117))</t>
  </si>
  <si>
    <t>=NL("First","Item Cross Reference","Cross-Reference No.","Item No.",IF($E117="",$B117,$E117),"Cross-Reference Type No.","EAN 13","Unit of Measure","EA","Send to Whse","True")</t>
  </si>
  <si>
    <t>=NL("First","Item Cross Reference","Cross-Reference No.","Item No.",IF($E118="",$B118,$E118),"Cross-Reference Type No.","EAN 13","Unit of Measure","EA","Send to Whse","True")</t>
  </si>
  <si>
    <t>=NL("First","Item Unit of Measure","Height","Item No.",IF($E119="",$B119,$E119),"code","ea")</t>
  </si>
  <si>
    <t>=NL("First","Item Unit of Measure","Width","Item No.",IF($E119="",$B119,$E119),"code","ea")</t>
  </si>
  <si>
    <t>=NL("First","Item Unit of Measure","Length","Item No.",IF($E119="",$B119,$E119),"code","ea")</t>
  </si>
  <si>
    <t>=NL("First","Item Unit of Measure","Weight","Item No.",IF($E119="",$B119,$E119),"code","ea")</t>
  </si>
  <si>
    <t>=NL("First","Item","Country/Region of Origin Code","No.",IF($E119="",$B119,$E119))</t>
  </si>
  <si>
    <t>=NL("First","Item","Tariff No.","No.",IF($E119="",$B119,$E119))</t>
  </si>
  <si>
    <t>=NL("First","Item Cross Reference","Cross-Reference No.","Item No.",IF($E119="",$B119,$E119),"Cross-Reference Type No.","EAN 13","Unit of Measure","EA","Send to Whse","True")</t>
  </si>
  <si>
    <t>=NL("First","Item Unit of Measure","Height","Item No.",IF($E120="",$B120,$E120),"code","ea")</t>
  </si>
  <si>
    <t>=NL("First","Item Unit of Measure","Width","Item No.",IF($E120="",$B120,$E120),"code","ea")</t>
  </si>
  <si>
    <t>=NL("First","Item Unit of Measure","Length","Item No.",IF($E120="",$B120,$E120),"code","ea")</t>
  </si>
  <si>
    <t>=NL("First","Item Unit of Measure","Weight","Item No.",IF($E120="",$B120,$E120),"code","ea")</t>
  </si>
  <si>
    <t>=NL("First","Item","Country/Region of Origin Code","No.",IF($E120="",$B120,$E120))</t>
  </si>
  <si>
    <t>=NL("First","Item","Tariff No.","No.",IF($E120="",$B120,$E120))</t>
  </si>
  <si>
    <t>=NL("First","Item Cross Reference","Cross-Reference No.","Item No.",IF($E120="",$B120,$E120),"Cross-Reference Type No.","EAN 13","Unit of Measure","EA","Send to Whse","True")</t>
  </si>
  <si>
    <t>=NL("First","Item Unit of Measure","Height","Item No.",IF($E121="",$B121,$E121),"code","ea")</t>
  </si>
  <si>
    <t>=NL("First","Item Unit of Measure","Width","Item No.",IF($E121="",$B121,$E121),"code","ea")</t>
  </si>
  <si>
    <t>=NL("First","Item Unit of Measure","Length","Item No.",IF($E121="",$B121,$E121),"code","ea")</t>
  </si>
  <si>
    <t>=NL("First","Item Unit of Measure","Weight","Item No.",IF($E121="",$B121,$E121),"code","ea")</t>
  </si>
  <si>
    <t>=NL("First","Item","Country/Region of Origin Code","No.",IF($E121="",$B121,$E121))</t>
  </si>
  <si>
    <t>=NL("First","Item","Tariff No.","No.",IF($E121="",$B121,$E121))</t>
  </si>
  <si>
    <t>=NL("First","Item Cross Reference","Cross-Reference No.","Item No.",IF($E121="",$B121,$E121),"Cross-Reference Type No.","EAN 13","Unit of Measure","EA","Send to Whse","True")</t>
  </si>
  <si>
    <t>=NL("First","Item Unit of Measure","Height","Item No.",IF($E122="",$B122,$E122),"code","ea")</t>
  </si>
  <si>
    <t>=NL("First","Item Unit of Measure","Width","Item No.",IF($E122="",$B122,$E122),"code","ea")</t>
  </si>
  <si>
    <t>=NL("First","Item Unit of Measure","Length","Item No.",IF($E122="",$B122,$E122),"code","ea")</t>
  </si>
  <si>
    <t>=NL("First","Item Unit of Measure","Weight","Item No.",IF($E122="",$B122,$E122),"code","ea")</t>
  </si>
  <si>
    <t>=NL("First","Item","Country/Region of Origin Code","No.",IF($E122="",$B122,$E122))</t>
  </si>
  <si>
    <t>=NL("First","Item","Tariff No.","No.",IF($E122="",$B122,$E122))</t>
  </si>
  <si>
    <t>=NL("First","Item Cross Reference","Cross-Reference No.","Item No.",IF($E122="",$B122,$E122),"Cross-Reference Type No.","EAN 13","Unit of Measure","EA","Send to Whse","True")</t>
  </si>
  <si>
    <t>=NL("First","Item Unit of Measure","Height","Item No.",IF($E123="",$B123,$E123),"code","ea")</t>
  </si>
  <si>
    <t>=NL("First","Item Unit of Measure","Width","Item No.",IF($E123="",$B123,$E123),"code","ea")</t>
  </si>
  <si>
    <t>=NL("First","Item Unit of Measure","Length","Item No.",IF($E123="",$B123,$E123),"code","ea")</t>
  </si>
  <si>
    <t>=NL("First","Item Unit of Measure","Weight","Item No.",IF($E123="",$B123,$E123),"code","ea")</t>
  </si>
  <si>
    <t>=NL("First","Item","Country/Region of Origin Code","No.",IF($E123="",$B123,$E123))</t>
  </si>
  <si>
    <t>=NL("First","Item","Tariff No.","No.",IF($E123="",$B123,$E123))</t>
  </si>
  <si>
    <t>=NL("First","Item Cross Reference","Cross-Reference No.","Item No.",IF($E123="",$B123,$E123),"Cross-Reference Type No.","EAN 13","Unit of Measure","EA","Send to Whse","True")</t>
  </si>
  <si>
    <t>=NL("First","Item Unit of Measure","Height","Item No.",IF($E124="",$B124,$E124),"code","ea")</t>
  </si>
  <si>
    <t>=NL("First","Item Unit of Measure","Width","Item No.",IF($E124="",$B124,$E124),"code","ea")</t>
  </si>
  <si>
    <t>=NL("First","Item Unit of Measure","Length","Item No.",IF($E124="",$B124,$E124),"code","ea")</t>
  </si>
  <si>
    <t>=NL("First","Item Unit of Measure","Weight","Item No.",IF($E124="",$B124,$E124),"code","ea")</t>
  </si>
  <si>
    <t>=NL("First","Item","Country/Region of Origin Code","No.",IF($E124="",$B124,$E124))</t>
  </si>
  <si>
    <t>=NL("First","Item","Tariff No.","No.",IF($E124="",$B124,$E124))</t>
  </si>
  <si>
    <t>=NL("First","Item Cross Reference","Cross-Reference No.","Item No.",IF($E124="",$B124,$E124),"Cross-Reference Type No.","EAN 13","Unit of Measure","EA","Send to Whse","True")</t>
  </si>
  <si>
    <t>=NL("First","Item Unit of Measure","Height","Item No.",IF($E125="",$B125,$E125),"code","ea")</t>
  </si>
  <si>
    <t>=NL("First","Item Unit of Measure","Width","Item No.",IF($E125="",$B125,$E125),"code","ea")</t>
  </si>
  <si>
    <t>=NL("First","Item Unit of Measure","Length","Item No.",IF($E125="",$B125,$E125),"code","ea")</t>
  </si>
  <si>
    <t>=NL("First","Item Unit of Measure","Weight","Item No.",IF($E125="",$B125,$E125),"code","ea")</t>
  </si>
  <si>
    <t>=NL("First","Item","Country/Region of Origin Code","No.",IF($E125="",$B125,$E125))</t>
  </si>
  <si>
    <t>=NL("First","Item","Tariff No.","No.",IF($E125="",$B125,$E125))</t>
  </si>
  <si>
    <t>=NL("First","Item Cross Reference","Cross-Reference No.","Item No.",IF($E125="",$B125,$E125),"Cross-Reference Type No.","EAN 13","Unit of Measure","EA","Send to Whse","True")</t>
  </si>
  <si>
    <t>=NL("First","Item Unit of Measure","Height","Item No.",IF($E126="",$B126,$E126),"code","ea")</t>
  </si>
  <si>
    <t>=NL("First","Item Unit of Measure","Width","Item No.",IF($E126="",$B126,$E126),"code","ea")</t>
  </si>
  <si>
    <t>=NL("First","Item Unit of Measure","Length","Item No.",IF($E126="",$B126,$E126),"code","ea")</t>
  </si>
  <si>
    <t>=NL("First","Item Unit of Measure","Weight","Item No.",IF($E126="",$B126,$E126),"code","ea")</t>
  </si>
  <si>
    <t>=NL("First","Item","Country/Region of Origin Code","No.",IF($E126="",$B126,$E126))</t>
  </si>
  <si>
    <t>=NL("First","Item","Tariff No.","No.",IF($E126="",$B126,$E126))</t>
  </si>
  <si>
    <t>=NL("First","Item Cross Reference","Cross-Reference No.","Item No.",IF($E126="",$B126,$E126),"Cross-Reference Type No.","EAN 13","Unit of Measure","EA","Send to Whse","True")</t>
  </si>
  <si>
    <t>=NL("First","Item Unit of Measure","Height","Item No.",IF($E127="",$B127,$E127),"code","ea")</t>
  </si>
  <si>
    <t>=NL("First","Item Unit of Measure","Width","Item No.",IF($E127="",$B127,$E127),"code","ea")</t>
  </si>
  <si>
    <t>=NL("First","Item Unit of Measure","Length","Item No.",IF($E127="",$B127,$E127),"code","ea")</t>
  </si>
  <si>
    <t>=NL("First","Item Unit of Measure","Weight","Item No.",IF($E127="",$B127,$E127),"code","ea")</t>
  </si>
  <si>
    <t>=NL("First","Item","Country/Region of Origin Code","No.",IF($E127="",$B127,$E127))</t>
  </si>
  <si>
    <t>=NL("First","Item","Tariff No.","No.",IF($E127="",$B127,$E127))</t>
  </si>
  <si>
    <t>=NL("First","Item Cross Reference","Cross-Reference No.","Item No.",IF($E127="",$B127,$E127),"Cross-Reference Type No.","EAN 13","Unit of Measure","EA","Send to Whse","True")</t>
  </si>
  <si>
    <t>=NL("First","Item Unit of Measure","Height","Item No.",IF($E128="",$B128,$E128),"code","ea")</t>
  </si>
  <si>
    <t>=NL("First","Item Unit of Measure","Width","Item No.",IF($E128="",$B128,$E128),"code","ea")</t>
  </si>
  <si>
    <t>=NL("First","Item Unit of Measure","Length","Item No.",IF($E128="",$B128,$E128),"code","ea")</t>
  </si>
  <si>
    <t>=NL("First","Item Unit of Measure","Weight","Item No.",IF($E128="",$B128,$E128),"code","ea")</t>
  </si>
  <si>
    <t>=NL("First","Item","Country/Region of Origin Code","No.",IF($E128="",$B128,$E128))</t>
  </si>
  <si>
    <t>=NL("First","Item","Tariff No.","No.",IF($E128="",$B128,$E128))</t>
  </si>
  <si>
    <t>=NL("First","Item Cross Reference","Cross-Reference No.","Item No.",IF($E128="",$B128,$E128),"Cross-Reference Type No.","EAN 13","Unit of Measure","EA","Send to Whse","True")</t>
  </si>
  <si>
    <t>=NL("First","Item Unit of Measure","Height","Item No.",IF($E129="",$B129,$E129),"code","ea")</t>
  </si>
  <si>
    <t>=NL("First","Item Unit of Measure","Width","Item No.",IF($E129="",$B129,$E129),"code","ea")</t>
  </si>
  <si>
    <t>=NL("First","Item Unit of Measure","Length","Item No.",IF($E129="",$B129,$E129),"code","ea")</t>
  </si>
  <si>
    <t>=NL("First","Item Unit of Measure","Weight","Item No.",IF($E129="",$B129,$E129),"code","ea")</t>
  </si>
  <si>
    <t>=NL("First","Item","Country/Region of Origin Code","No.",IF($E129="",$B129,$E129))</t>
  </si>
  <si>
    <t>=NL("First","Item","Tariff No.","No.",IF($E129="",$B129,$E129))</t>
  </si>
  <si>
    <t>=NL("First","Item Cross Reference","Cross-Reference No.","Item No.",IF($E129="",$B129,$E129),"Cross-Reference Type No.","EAN 13","Unit of Measure","EA","Send to Whse","True")</t>
  </si>
  <si>
    <t>=NL("First","Item Unit of Measure","Height","Item No.",IF($E130="",$B130,$E130),"code","ea")</t>
  </si>
  <si>
    <t>=NL("First","Item Unit of Measure","Width","Item No.",IF($E130="",$B130,$E130),"code","ea")</t>
  </si>
  <si>
    <t>=NL("First","Item Unit of Measure","Length","Item No.",IF($E130="",$B130,$E130),"code","ea")</t>
  </si>
  <si>
    <t>=NL("First","Item Unit of Measure","Weight","Item No.",IF($E130="",$B130,$E130),"code","ea")</t>
  </si>
  <si>
    <t>=NL("First","Item","Country/Region of Origin Code","No.",IF($E130="",$B130,$E130))</t>
  </si>
  <si>
    <t>=NL("First","Item","Tariff No.","No.",IF($E130="",$B130,$E130))</t>
  </si>
  <si>
    <t>=NL("First","Item Cross Reference","Cross-Reference No.","Item No.",IF($E130="",$B130,$E130),"Cross-Reference Type No.","EAN 13","Unit of Measure","EA","Send to Whse","True")</t>
  </si>
  <si>
    <t>=NL("First","Item Unit of Measure","Height","Item No.",IF($E131="",$B131,$E131),"code","ea")</t>
  </si>
  <si>
    <t>=NL("First","Item Unit of Measure","Width","Item No.",IF($E131="",$B131,$E131),"code","ea")</t>
  </si>
  <si>
    <t>=NL("First","Item Unit of Measure","Length","Item No.",IF($E131="",$B131,$E131),"code","ea")</t>
  </si>
  <si>
    <t>=NL("First","Item Unit of Measure","Weight","Item No.",IF($E131="",$B131,$E131),"code","ea")</t>
  </si>
  <si>
    <t>=NL("First","Item","Country/Region of Origin Code","No.",IF($E131="",$B131,$E131))</t>
  </si>
  <si>
    <t>=NL("First","Item","Tariff No.","No.",IF($E131="",$B131,$E131))</t>
  </si>
  <si>
    <t>=NL("First","Item Cross Reference","Cross-Reference No.","Item No.",IF($E131="",$B131,$E131),"Cross-Reference Type No.","EAN 13","Unit of Measure","EA","Send to Whse","True")</t>
  </si>
  <si>
    <t>=NL("First","Item Unit of Measure","Height","Item No.",IF($E132="",$B132,$E132),"code","ea")</t>
  </si>
  <si>
    <t>=NL("First","Item Unit of Measure","Width","Item No.",IF($E132="",$B132,$E132),"code","ea")</t>
  </si>
  <si>
    <t>=NL("First","Item Unit of Measure","Length","Item No.",IF($E132="",$B132,$E132),"code","ea")</t>
  </si>
  <si>
    <t>=NL("First","Item Unit of Measure","Weight","Item No.",IF($E132="",$B132,$E132),"code","ea")</t>
  </si>
  <si>
    <t>=NL("First","Item","Country/Region of Origin Code","No.",IF($E132="",$B132,$E132))</t>
  </si>
  <si>
    <t>=NL("First","Item","Tariff No.","No.",IF($E132="",$B132,$E132))</t>
  </si>
  <si>
    <t>=NL("First","Item Cross Reference","Cross-Reference No.","Item No.",IF($E132="",$B132,$E132),"Cross-Reference Type No.","EAN 13","Unit of Measure","EA","Send to Whse","True")</t>
  </si>
  <si>
    <t>=NL("First","Item Unit of Measure","Height","Item No.",IF($E133="",$B133,$E133),"code","ea")</t>
  </si>
  <si>
    <t>=NL("First","Item Unit of Measure","Width","Item No.",IF($E133="",$B133,$E133),"code","ea")</t>
  </si>
  <si>
    <t>=NL("First","Item Unit of Measure","Length","Item No.",IF($E133="",$B133,$E133),"code","ea")</t>
  </si>
  <si>
    <t>=NL("First","Item Unit of Measure","Weight","Item No.",IF($E133="",$B133,$E133),"code","ea")</t>
  </si>
  <si>
    <t>=NL("First","Item","Country/Region of Origin Code","No.",IF($E133="",$B133,$E133))</t>
  </si>
  <si>
    <t>=NL("First","Item","Tariff No.","No.",IF($E133="",$B133,$E133))</t>
  </si>
  <si>
    <t>=NL("First","Item Cross Reference","Cross-Reference No.","Item No.",IF($E133="",$B133,$E133),"Cross-Reference Type No.","EAN 13","Unit of Measure","EA","Send to Whse","True")</t>
  </si>
  <si>
    <t>=NL("First","Item Unit of Measure","Height","Item No.",IF($E134="",$B134,$E134),"code","ea")</t>
  </si>
  <si>
    <t>=NL("First","Item Unit of Measure","Width","Item No.",IF($E134="",$B134,$E134),"code","ea")</t>
  </si>
  <si>
    <t>=NL("First","Item Unit of Measure","Length","Item No.",IF($E134="",$B134,$E134),"code","ea")</t>
  </si>
  <si>
    <t>=NL("First","Item Unit of Measure","Weight","Item No.",IF($E134="",$B134,$E134),"code","ea")</t>
  </si>
  <si>
    <t>=NL("First","Item","Country/Region of Origin Code","No.",IF($E134="",$B134,$E134))</t>
  </si>
  <si>
    <t>=NL("First","Item","Tariff No.","No.",IF($E134="",$B134,$E134))</t>
  </si>
  <si>
    <t>=NL("First","Item Cross Reference","Cross-Reference No.","Item No.",IF($E134="",$B134,$E134),"Cross-Reference Type No.","EAN 13","Unit of Measure","EA","Send to Whse","True")</t>
  </si>
  <si>
    <t>=NL("First","Item Unit of Measure","Height","Item No.",IF($E135="",$B135,$E135),"code","ea")</t>
  </si>
  <si>
    <t>=NL("First","Item Unit of Measure","Width","Item No.",IF($E135="",$B135,$E135),"code","ea")</t>
  </si>
  <si>
    <t>=NL("First","Item Unit of Measure","Length","Item No.",IF($E135="",$B135,$E135),"code","ea")</t>
  </si>
  <si>
    <t>=NL("First","Item Unit of Measure","Weight","Item No.",IF($E135="",$B135,$E135),"code","ea")</t>
  </si>
  <si>
    <t>=NL("First","Item","Country/Region of Origin Code","No.",IF($E135="",$B135,$E135))</t>
  </si>
  <si>
    <t>=NL("First","Item","Tariff No.","No.",IF($E135="",$B135,$E135))</t>
  </si>
  <si>
    <t>=NL("First","Item Cross Reference","Cross-Reference No.","Item No.",IF($E135="",$B135,$E135),"Cross-Reference Type No.","EAN 13","Unit of Measure","EA","Send to Whse","True")</t>
  </si>
  <si>
    <t>=NL("First","Item Unit of Measure","Height","Item No.",IF($E136="",$B136,$E136),"code","ea")</t>
  </si>
  <si>
    <t>=NL("First","Item Unit of Measure","Width","Item No.",IF($E136="",$B136,$E136),"code","ea")</t>
  </si>
  <si>
    <t>=NL("First","Item Unit of Measure","Length","Item No.",IF($E136="",$B136,$E136),"code","ea")</t>
  </si>
  <si>
    <t>=NL("First","Item Unit of Measure","Weight","Item No.",IF($E136="",$B136,$E136),"code","ea")</t>
  </si>
  <si>
    <t>=NL("First","Item","Country/Region of Origin Code","No.",IF($E136="",$B136,$E136))</t>
  </si>
  <si>
    <t>=NL("First","Item","Tariff No.","No.",IF($E136="",$B136,$E136))</t>
  </si>
  <si>
    <t>=NL("First","Item Cross Reference","Cross-Reference No.","Item No.",IF($E136="",$B136,$E136),"Cross-Reference Type No.","EAN 13","Unit of Measure","EA","Send to Whse","True")</t>
  </si>
  <si>
    <t>=NL("First","Item Unit of Measure","Height","Item No.",IF($E137="",$B137,$E137),"code","ea")</t>
  </si>
  <si>
    <t>=NL("First","Item Unit of Measure","Width","Item No.",IF($E137="",$B137,$E137),"code","ea")</t>
  </si>
  <si>
    <t>=NL("First","Item Unit of Measure","Length","Item No.",IF($E137="",$B137,$E137),"code","ea")</t>
  </si>
  <si>
    <t>=NL("First","Item Unit of Measure","Weight","Item No.",IF($E137="",$B137,$E137),"code","ea")</t>
  </si>
  <si>
    <t>=NL("First","Item","Country/Region of Origin Code","No.",IF($E137="",$B137,$E137))</t>
  </si>
  <si>
    <t>=NL("First","Item","Tariff No.","No.",IF($E137="",$B137,$E137))</t>
  </si>
  <si>
    <t>=NL("First","Item Cross Reference","Cross-Reference No.","Item No.",IF($E137="",$B137,$E137),"Cross-Reference Type No.","EAN 13","Unit of Measure","EA","Send to Whse","True")</t>
  </si>
  <si>
    <t>=NL("First","Item Unit of Measure","Height","Item No.",IF($E138="",$B138,$E138),"code","ea")</t>
  </si>
  <si>
    <t>=NL("First","Item Unit of Measure","Width","Item No.",IF($E138="",$B138,$E138),"code","ea")</t>
  </si>
  <si>
    <t>=NL("First","Item Unit of Measure","Length","Item No.",IF($E138="",$B138,$E138),"code","ea")</t>
  </si>
  <si>
    <t>=NL("First","Item Unit of Measure","Weight","Item No.",IF($E138="",$B138,$E138),"code","ea")</t>
  </si>
  <si>
    <t>=NL("First","Item","Country/Region of Origin Code","No.",IF($E138="",$B138,$E138))</t>
  </si>
  <si>
    <t>=NL("First","Item","Tariff No.","No.",IF($E138="",$B138,$E138))</t>
  </si>
  <si>
    <t>=NL("First","Item Cross Reference","Cross-Reference No.","Item No.",IF($E138="",$B138,$E138),"Cross-Reference Type No.","EAN 13","Unit of Measure","EA","Send to Whse","True")</t>
  </si>
  <si>
    <t>=NL("First","Item Unit of Measure","Height","Item No.",IF($E139="",$B139,$E139),"code","ea")</t>
  </si>
  <si>
    <t>=NL("First","Item Unit of Measure","Width","Item No.",IF($E139="",$B139,$E139),"code","ea")</t>
  </si>
  <si>
    <t>=NL("First","Item Unit of Measure","Length","Item No.",IF($E139="",$B139,$E139),"code","ea")</t>
  </si>
  <si>
    <t>=NL("First","Item Unit of Measure","Weight","Item No.",IF($E139="",$B139,$E139),"code","ea")</t>
  </si>
  <si>
    <t>=NL("First","Item","Country/Region of Origin Code","No.",IF($E139="",$B139,$E139))</t>
  </si>
  <si>
    <t>=NL("First","Item","Tariff No.","No.",IF($E139="",$B139,$E139))</t>
  </si>
  <si>
    <t>=NL("First","Item Cross Reference","Cross-Reference No.","Item No.",IF($E139="",$B139,$E139),"Cross-Reference Type No.","EAN 13","Unit of Measure","EA","Send to Whse","True")</t>
  </si>
  <si>
    <t>=NL("First","Item Unit of Measure","Height","Item No.",IF($E140="",$B140,$E140),"code","ea")</t>
  </si>
  <si>
    <t>=NL("First","Item Unit of Measure","Width","Item No.",IF($E140="",$B140,$E140),"code","ea")</t>
  </si>
  <si>
    <t>=NL("First","Item Unit of Measure","Length","Item No.",IF($E140="",$B140,$E140),"code","ea")</t>
  </si>
  <si>
    <t>=NL("First","Item Unit of Measure","Weight","Item No.",IF($E140="",$B140,$E140),"code","ea")</t>
  </si>
  <si>
    <t>=NL("First","Item","Country/Region of Origin Code","No.",IF($E140="",$B140,$E140))</t>
  </si>
  <si>
    <t>=NL("First","Item","Tariff No.","No.",IF($E140="",$B140,$E140))</t>
  </si>
  <si>
    <t>=NL("First","Item Cross Reference","Cross-Reference No.","Item No.",IF($E140="",$B140,$E140),"Cross-Reference Type No.","EAN 13","Unit of Measure","EA","Send to Whse","True")</t>
  </si>
  <si>
    <t>=NL("First","Item Unit of Measure","Height","Item No.",IF($E141="",$B141,$E141),"code","ea")</t>
  </si>
  <si>
    <t>=NL("First","Item Unit of Measure","Width","Item No.",IF($E141="",$B141,$E141),"code","ea")</t>
  </si>
  <si>
    <t>=NL("First","Item Unit of Measure","Length","Item No.",IF($E141="",$B141,$E141),"code","ea")</t>
  </si>
  <si>
    <t>=NL("First","Item Unit of Measure","Weight","Item No.",IF($E141="",$B141,$E141),"code","ea")</t>
  </si>
  <si>
    <t>=NL("First","Item","Country/Region of Origin Code","No.",IF($E141="",$B141,$E141))</t>
  </si>
  <si>
    <t>=NL("First","Item","Tariff No.","No.",IF($E141="",$B141,$E141))</t>
  </si>
  <si>
    <t>=NL("First","Item Cross Reference","Cross-Reference No.","Item No.",IF($E141="",$B141,$E141),"Cross-Reference Type No.","EAN 13","Unit of Measure","EA","Send to Whse","True")</t>
  </si>
  <si>
    <t>=NL("First","Item Unit of Measure","Height","Item No.",IF($E142="",$B142,$E142),"code","ea")</t>
  </si>
  <si>
    <t>=NL("First","Item Unit of Measure","Width","Item No.",IF($E142="",$B142,$E142),"code","ea")</t>
  </si>
  <si>
    <t>=NL("First","Item Unit of Measure","Length","Item No.",IF($E142="",$B142,$E142),"code","ea")</t>
  </si>
  <si>
    <t>=NL("First","Item Unit of Measure","Weight","Item No.",IF($E142="",$B142,$E142),"code","ea")</t>
  </si>
  <si>
    <t>=NL("First","Item","Country/Region of Origin Code","No.",IF($E142="",$B142,$E142))</t>
  </si>
  <si>
    <t>=NL("First","Item","Tariff No.","No.",IF($E142="",$B142,$E142))</t>
  </si>
  <si>
    <t>=NL("First","Item Cross Reference","Cross-Reference No.","Item No.",IF($E142="",$B142,$E142),"Cross-Reference Type No.","EAN 13","Unit of Measure","EA","Send to Whse","True")</t>
  </si>
  <si>
    <t>=NL("First","Item Unit of Measure","Height","Item No.",IF($E143="",$B143,$E143),"code","ea")</t>
  </si>
  <si>
    <t>=NL("First","Item Unit of Measure","Width","Item No.",IF($E143="",$B143,$E143),"code","ea")</t>
  </si>
  <si>
    <t>=NL("First","Item Unit of Measure","Length","Item No.",IF($E143="",$B143,$E143),"code","ea")</t>
  </si>
  <si>
    <t>=NL("First","Item Unit of Measure","Weight","Item No.",IF($E143="",$B143,$E143),"code","ea")</t>
  </si>
  <si>
    <t>=NL("First","Item","Country/Region of Origin Code","No.",IF($E143="",$B143,$E143))</t>
  </si>
  <si>
    <t>=NL("First","Item","Tariff No.","No.",IF($E143="",$B143,$E143))</t>
  </si>
  <si>
    <t>=NL("First","Item Cross Reference","Cross-Reference No.","Item No.",IF($E143="",$B143,$E143),"Cross-Reference Type No.","EAN 13","Unit of Measure","EA","Send to Whse","True")</t>
  </si>
  <si>
    <t>=NL("First","Item Unit of Measure","Height","Item No.",IF($E144="",$B144,$E144),"code","ea")</t>
  </si>
  <si>
    <t>=NL("First","Item Unit of Measure","Width","Item No.",IF($E144="",$B144,$E144),"code","ea")</t>
  </si>
  <si>
    <t>=NL("First","Item Unit of Measure","Length","Item No.",IF($E144="",$B144,$E144),"code","ea")</t>
  </si>
  <si>
    <t>=NL("First","Item Unit of Measure","Weight","Item No.",IF($E144="",$B144,$E144),"code","ea")</t>
  </si>
  <si>
    <t>=NL("First","Item","Country/Region of Origin Code","No.",IF($E144="",$B144,$E144))</t>
  </si>
  <si>
    <t>=NL("First","Item","Tariff No.","No.",IF($E144="",$B144,$E144))</t>
  </si>
  <si>
    <t>=NL("First","Item Cross Reference","Cross-Reference No.","Item No.",IF($E144="",$B144,$E144),"Cross-Reference Type No.","EAN 13","Unit of Measure","EA","Send to Whse","True")</t>
  </si>
  <si>
    <t>=NL("First","Item Unit of Measure","Height","Item No.",IF($E145="",$B145,$E145),"code","ea")</t>
  </si>
  <si>
    <t>=NL("First","Item Unit of Measure","Width","Item No.",IF($E145="",$B145,$E145),"code","ea")</t>
  </si>
  <si>
    <t>=NL("First","Item Unit of Measure","Length","Item No.",IF($E145="",$B145,$E145),"code","ea")</t>
  </si>
  <si>
    <t>=NL("First","Item Unit of Measure","Weight","Item No.",IF($E145="",$B145,$E145),"code","ea")</t>
  </si>
  <si>
    <t>=NL("First","Item","Country/Region of Origin Code","No.",IF($E145="",$B145,$E145))</t>
  </si>
  <si>
    <t>=NL("First","Item","Tariff No.","No.",IF($E145="",$B145,$E145))</t>
  </si>
  <si>
    <t>=NL("First","Item Cross Reference","Cross-Reference No.","Item No.",IF($E145="",$B145,$E145),"Cross-Reference Type No.","EAN 13","Unit of Measure","EA","Send to Whse","True")</t>
  </si>
  <si>
    <t>=NL("First","Item Unit of Measure","Height","Item No.",IF($E146="",$B146,$E146),"code","ea")</t>
  </si>
  <si>
    <t>=NL("First","Item Unit of Measure","Width","Item No.",IF($E146="",$B146,$E146),"code","ea")</t>
  </si>
  <si>
    <t>=NL("First","Item Unit of Measure","Length","Item No.",IF($E146="",$B146,$E146),"code","ea")</t>
  </si>
  <si>
    <t>=NL("First","Item Unit of Measure","Weight","Item No.",IF($E146="",$B146,$E146),"code","ea")</t>
  </si>
  <si>
    <t>=NL("First","Item","Country/Region of Origin Code","No.",IF($E146="",$B146,$E146))</t>
  </si>
  <si>
    <t>=NL("First","Item","Tariff No.","No.",IF($E146="",$B146,$E146))</t>
  </si>
  <si>
    <t>=NL("First","Item Cross Reference","Cross-Reference No.","Item No.",IF($E146="",$B146,$E146),"Cross-Reference Type No.","EAN 13","Unit of Measure","EA","Send to Whse","True")</t>
  </si>
  <si>
    <t>=NL("First","Item Unit of Measure","Height","Item No.",IF($E147="",$B147,$E147),"code","ea")</t>
  </si>
  <si>
    <t>=NL("First","Item Unit of Measure","Width","Item No.",IF($E147="",$B147,$E147),"code","ea")</t>
  </si>
  <si>
    <t>=NL("First","Item Unit of Measure","Length","Item No.",IF($E147="",$B147,$E147),"code","ea")</t>
  </si>
  <si>
    <t>=NL("First","Item Unit of Measure","Weight","Item No.",IF($E147="",$B147,$E147),"code","ea")</t>
  </si>
  <si>
    <t>=NL("First","Item","Country/Region of Origin Code","No.",IF($E147="",$B147,$E147))</t>
  </si>
  <si>
    <t>=NL("First","Item","Tariff No.","No.",IF($E147="",$B147,$E147))</t>
  </si>
  <si>
    <t>=NL("First","Item Cross Reference","Cross-Reference No.","Item No.",IF($E147="",$B147,$E147),"Cross-Reference Type No.","EAN 13","Unit of Measure","EA","Send to Whse","True")</t>
  </si>
  <si>
    <t>=NL("First","Item Unit of Measure","Height","Item No.",IF($E148="",$B148,$E148),"code","ea")</t>
  </si>
  <si>
    <t>=NL("First","Item Unit of Measure","Width","Item No.",IF($E148="",$B148,$E148),"code","ea")</t>
  </si>
  <si>
    <t>=NL("First","Item Unit of Measure","Length","Item No.",IF($E148="",$B148,$E148),"code","ea")</t>
  </si>
  <si>
    <t>=NL("First","Item Unit of Measure","Weight","Item No.",IF($E148="",$B148,$E148),"code","ea")</t>
  </si>
  <si>
    <t>=NL("First","Item","Country/Region of Origin Code","No.",IF($E148="",$B148,$E148))</t>
  </si>
  <si>
    <t>=NL("First","Item","Tariff No.","No.",IF($E148="",$B148,$E148))</t>
  </si>
  <si>
    <t>=NL("First","Item Cross Reference","Cross-Reference No.","Item No.",IF($E148="",$B148,$E148),"Cross-Reference Type No.","EAN 13","Unit of Measure","EA","Send to Whse","True")</t>
  </si>
  <si>
    <t>=NL("First","Item Unit of Measure","Height","Item No.",IF($E149="",$B149,$E149),"code","ea")</t>
  </si>
  <si>
    <t>=NL("First","Item Unit of Measure","Width","Item No.",IF($E149="",$B149,$E149),"code","ea")</t>
  </si>
  <si>
    <t>=NL("First","Item Unit of Measure","Length","Item No.",IF($E149="",$B149,$E149),"code","ea")</t>
  </si>
  <si>
    <t>=NL("First","Item Unit of Measure","Weight","Item No.",IF($E149="",$B149,$E149),"code","ea")</t>
  </si>
  <si>
    <t>=NL("First","Item","Country/Region of Origin Code","No.",IF($E149="",$B149,$E149))</t>
  </si>
  <si>
    <t>=NL("First","Item","Tariff No.","No.",IF($E149="",$B149,$E149))</t>
  </si>
  <si>
    <t>=NL("First","Item Cross Reference","Cross-Reference No.","Item No.",IF($E149="",$B149,$E149),"Cross-Reference Type No.","EAN 13","Unit of Measure","EA","Send to Whse","True")</t>
  </si>
  <si>
    <t>=NL("First","Item Unit of Measure","Height","Item No.",IF($E150="",$B150,$E150),"code","ea")</t>
  </si>
  <si>
    <t>=NL("First","Item Unit of Measure","Width","Item No.",IF($E150="",$B150,$E150),"code","ea")</t>
  </si>
  <si>
    <t>=NL("First","Item Unit of Measure","Length","Item No.",IF($E150="",$B150,$E150),"code","ea")</t>
  </si>
  <si>
    <t>=NL("First","Item Unit of Measure","Weight","Item No.",IF($E150="",$B150,$E150),"code","ea")</t>
  </si>
  <si>
    <t>=NL("First","Item","Country/Region of Origin Code","No.",IF($E150="",$B150,$E150))</t>
  </si>
  <si>
    <t>=NL("First","Item","Tariff No.","No.",IF($E150="",$B150,$E150))</t>
  </si>
  <si>
    <t>=NL("First","Item Cross Reference","Cross-Reference No.","Item No.",IF($E150="",$B150,$E150),"Cross-Reference Type No.","EAN 13","Unit of Measure","EA","Send to Whse","True")</t>
  </si>
  <si>
    <t>=NL("First","Item Unit of Measure","Height","Item No.",IF($E151="",$B151,$E151),"code","ea")</t>
  </si>
  <si>
    <t>=NL("First","Item Unit of Measure","Width","Item No.",IF($E151="",$B151,$E151),"code","ea")</t>
  </si>
  <si>
    <t>=NL("First","Item Unit of Measure","Length","Item No.",IF($E151="",$B151,$E151),"code","ea")</t>
  </si>
  <si>
    <t>=NL("First","Item Unit of Measure","Weight","Item No.",IF($E151="",$B151,$E151),"code","ea")</t>
  </si>
  <si>
    <t>=NL("First","Item","Country/Region of Origin Code","No.",IF($E151="",$B151,$E151))</t>
  </si>
  <si>
    <t>=NL("First","Item","Tariff No.","No.",IF($E151="",$B151,$E151))</t>
  </si>
  <si>
    <t>=NL("First","Item Cross Reference","Cross-Reference No.","Item No.",IF($E151="",$B151,$E151),"Cross-Reference Type No.","EAN 13","Unit of Measure","EA","Send to Whse","True")</t>
  </si>
  <si>
    <t>=NL("First","Item Unit of Measure","Height","Item No.",IF($E152="",$B152,$E152),"code","ea")</t>
  </si>
  <si>
    <t>=NL("First","Item Unit of Measure","Width","Item No.",IF($E152="",$B152,$E152),"code","ea")</t>
  </si>
  <si>
    <t>=NL("First","Item Unit of Measure","Length","Item No.",IF($E152="",$B152,$E152),"code","ea")</t>
  </si>
  <si>
    <t>=NL("First","Item Unit of Measure","Weight","Item No.",IF($E152="",$B152,$E152),"code","ea")</t>
  </si>
  <si>
    <t>=NL("First","Item","Country/Region of Origin Code","No.",IF($E152="",$B152,$E152))</t>
  </si>
  <si>
    <t>=NL("First","Item","Tariff No.","No.",IF($E152="",$B152,$E152))</t>
  </si>
  <si>
    <t>=NL("First","Item Cross Reference","Cross-Reference No.","Item No.",IF($E152="",$B152,$E152),"Cross-Reference Type No.","EAN 13","Unit of Measure","EA","Send to Whse","True")</t>
  </si>
  <si>
    <t>=NL("First","Item Unit of Measure","Height","Item No.",IF($E153="",$B153,$E153),"code","ea")</t>
  </si>
  <si>
    <t>=NL("First","Item Unit of Measure","Width","Item No.",IF($E153="",$B153,$E153),"code","ea")</t>
  </si>
  <si>
    <t>=NL("First","Item Unit of Measure","Length","Item No.",IF($E153="",$B153,$E153),"code","ea")</t>
  </si>
  <si>
    <t>=NL("First","Item Unit of Measure","Weight","Item No.",IF($E153="",$B153,$E153),"code","ea")</t>
  </si>
  <si>
    <t>=NL("First","Item","Country/Region of Origin Code","No.",IF($E153="",$B153,$E153))</t>
  </si>
  <si>
    <t>=NL("First","Item","Tariff No.","No.",IF($E153="",$B153,$E153))</t>
  </si>
  <si>
    <t>=NL("First","Item Cross Reference","Cross-Reference No.","Item No.",IF($E153="",$B153,$E153),"Cross-Reference Type No.","EAN 13","Unit of Measure","EA","Send to Whse","True")</t>
  </si>
  <si>
    <t>=NL("First","Item Unit of Measure","Height","Item No.",IF($E154="",$B154,$E154),"code","ea")</t>
  </si>
  <si>
    <t>=NL("First","Item Unit of Measure","Width","Item No.",IF($E154="",$B154,$E154),"code","ea")</t>
  </si>
  <si>
    <t>=NL("First","Item Unit of Measure","Length","Item No.",IF($E154="",$B154,$E154),"code","ea")</t>
  </si>
  <si>
    <t>=NL("First","Item Unit of Measure","Weight","Item No.",IF($E154="",$B154,$E154),"code","ea")</t>
  </si>
  <si>
    <t>=NL("First","Item","Country/Region of Origin Code","No.",IF($E154="",$B154,$E154))</t>
  </si>
  <si>
    <t>=NL("First","Item","Tariff No.","No.",IF($E154="",$B154,$E154))</t>
  </si>
  <si>
    <t>=NL("First","Item Cross Reference","Cross-Reference No.","Item No.",IF($E154="",$B154,$E154),"Cross-Reference Type No.","EAN 13","Unit of Measure","EA","Send to Whse","True")</t>
  </si>
  <si>
    <t>=NL("First","Item Unit of Measure","Height","Item No.",IF($E155="",$B155,$E155),"code","ea")</t>
  </si>
  <si>
    <t>=NL("First","Item Unit of Measure","Width","Item No.",IF($E155="",$B155,$E155),"code","ea")</t>
  </si>
  <si>
    <t>=NL("First","Item Unit of Measure","Length","Item No.",IF($E155="",$B155,$E155),"code","ea")</t>
  </si>
  <si>
    <t>=NL("First","Item Unit of Measure","Weight","Item No.",IF($E155="",$B155,$E155),"code","ea")</t>
  </si>
  <si>
    <t>=NL("First","Item","Country/Region of Origin Code","No.",IF($E155="",$B155,$E155))</t>
  </si>
  <si>
    <t>=NL("First","Item","Tariff No.","No.",IF($E155="",$B155,$E155))</t>
  </si>
  <si>
    <t>=NL("First","Item Cross Reference","Cross-Reference No.","Item No.",IF($E155="",$B155,$E155),"Cross-Reference Type No.","EAN 13","Unit of Measure","EA","Send to Whse","True")</t>
  </si>
  <si>
    <t>=NL("First","Item Unit of Measure","Height","Item No.",IF($E156="",$B156,$E156),"code","ea")</t>
  </si>
  <si>
    <t>=NL("First","Item Unit of Measure","Width","Item No.",IF($E156="",$B156,$E156),"code","ea")</t>
  </si>
  <si>
    <t>=NL("First","Item Unit of Measure","Length","Item No.",IF($E156="",$B156,$E156),"code","ea")</t>
  </si>
  <si>
    <t>=NL("First","Item Unit of Measure","Weight","Item No.",IF($E156="",$B156,$E156),"code","ea")</t>
  </si>
  <si>
    <t>=NL("First","Item","Country/Region of Origin Code","No.",IF($E156="",$B156,$E156))</t>
  </si>
  <si>
    <t>=NL("First","Item","Tariff No.","No.",IF($E156="",$B156,$E156))</t>
  </si>
  <si>
    <t>=NL("First","Item Cross Reference","Cross-Reference No.","Item No.",IF($E156="",$B156,$E156),"Cross-Reference Type No.","EAN 13","Unit of Measure","EA","Send to Whse","True")</t>
  </si>
  <si>
    <t>=IF(E157="","",1)</t>
  </si>
  <si>
    <t>=NL("First","Item Unit of Measure","Height","Item No.",IF($E157="",$B157,$E157),"code","ea")</t>
  </si>
  <si>
    <t>=NL("First","Item Unit of Measure","Width","Item No.",IF($E157="",$B157,$E157),"code","ea")</t>
  </si>
  <si>
    <t>=NL("First","Item Unit of Measure","Length","Item No.",IF($E157="",$B157,$E157),"code","ea")</t>
  </si>
  <si>
    <t>=NL("First","Item Unit of Measure","Weight","Item No.",IF($E157="",$B157,$E157),"code","ea")</t>
  </si>
  <si>
    <t>=NL("First","Item","Country/Region of Origin Code","No.",IF($E157="",$B157,$E157))</t>
  </si>
  <si>
    <t>=NL("First","Item","Tariff No.","No.",IF($E157="",$B157,$E157))</t>
  </si>
  <si>
    <t>=NL("First","Item Cross Reference","Cross-Reference No.","Item No.",IF($E157="",$B157,$E157),"Cross-Reference Type No.","EAN 13","Unit of Measure","EA","Send to Whse","True")</t>
  </si>
  <si>
    <t>=IF(E158="","",1)</t>
  </si>
  <si>
    <t>=NL("First","Item Unit of Measure","Height","Item No.",IF($E158="",$B158,$E158),"code","ea")</t>
  </si>
  <si>
    <t>=NL("First","Item Unit of Measure","Width","Item No.",IF($E158="",$B158,$E158),"code","ea")</t>
  </si>
  <si>
    <t>=NL("First","Item Unit of Measure","Length","Item No.",IF($E158="",$B158,$E158),"code","ea")</t>
  </si>
  <si>
    <t>=NL("First","Item Unit of Measure","Weight","Item No.",IF($E158="",$B158,$E158),"code","ea")</t>
  </si>
  <si>
    <t>=NL("First","Item","Country/Region of Origin Code","No.",IF($E158="",$B158,$E158))</t>
  </si>
  <si>
    <t>=NL("First","Item","Tariff No.","No.",IF($E158="",$B158,$E158))</t>
  </si>
  <si>
    <t>=NL("First","Item Cross Reference","Cross-Reference No.","Item No.",IF($E158="",$B158,$E158),"Cross-Reference Type No.","EAN 13","Unit of Measure","EA","Send to Whse","True")</t>
  </si>
  <si>
    <t>=NL("First","Item Cross Reference","Cross-Reference No.","Item No.",IF($E159="",$B159,$E159),"Cross-Reference Type No.","EAN 13","Unit of Measure","EA","Send to Whse","True")</t>
  </si>
  <si>
    <t>=IF(E160="","",1)</t>
  </si>
  <si>
    <t>=NL("First","Item Unit of Measure","Height","Item No.",IF($E160="",$B160,$E160),"code","ea")</t>
  </si>
  <si>
    <t>=NL("First","Item Unit of Measure","Width","Item No.",IF($E160="",$B160,$E160),"code","ea")</t>
  </si>
  <si>
    <t>=NL("First","Item Unit of Measure","Length","Item No.",IF($E160="",$B160,$E160),"code","ea")</t>
  </si>
  <si>
    <t>=NL("First","Item Unit of Measure","Weight","Item No.",IF($E160="",$B160,$E160),"code","ea")</t>
  </si>
  <si>
    <t>=NL("First","Item","Country/Region of Origin Code","No.",IF($E160="",$B160,$E160))</t>
  </si>
  <si>
    <t>=NL("First","Item","Tariff No.","No.",IF($E160="",$B160,$E160))</t>
  </si>
  <si>
    <t>=NL("First","Item Cross Reference","Cross-Reference No.","Item No.",IF($E160="",$B160,$E160),"Cross-Reference Type No.","EAN 13","Unit of Measure","EA","Send to Whse","True")</t>
  </si>
  <si>
    <t>=IF(E161="","",1)</t>
  </si>
  <si>
    <t>=NL("First","Item Unit of Measure","Height","Item No.",IF($E161="",$B161,$E161),"code","ea")</t>
  </si>
  <si>
    <t>=NL("First","Item Unit of Measure","Width","Item No.",IF($E161="",$B161,$E161),"code","ea")</t>
  </si>
  <si>
    <t>=NL("First","Item Unit of Measure","Length","Item No.",IF($E161="",$B161,$E161),"code","ea")</t>
  </si>
  <si>
    <t>=NL("First","Item Unit of Measure","Weight","Item No.",IF($E161="",$B161,$E161),"code","ea")</t>
  </si>
  <si>
    <t>=NL("First","Item","Country/Region of Origin Code","No.",IF($E161="",$B161,$E161))</t>
  </si>
  <si>
    <t>=NL("First","Item","Tariff No.","No.",IF($E161="",$B161,$E161))</t>
  </si>
  <si>
    <t>=NL("First","Item Cross Reference","Cross-Reference No.","Item No.",IF($E161="",$B161,$E161),"Cross-Reference Type No.","EAN 13","Unit of Measure","EA","Send to Whse","True")</t>
  </si>
  <si>
    <t>=NL("First","Item Cross Reference","Cross-Reference No.","Item No.",IF($E162="",$B162,$E162),"Cross-Reference Type No.","EAN 13","Unit of Measure","EA","Send to Whse","True")</t>
  </si>
  <si>
    <t>=IF(E163="","",1)</t>
  </si>
  <si>
    <t>=NL("First","Item Unit of Measure","Height","Item No.",IF($E163="",$B163,$E163),"code","ea")</t>
  </si>
  <si>
    <t>=NL("First","Item Unit of Measure","Width","Item No.",IF($E163="",$B163,$E163),"code","ea")</t>
  </si>
  <si>
    <t>=NL("First","Item Unit of Measure","Length","Item No.",IF($E163="",$B163,$E163),"code","ea")</t>
  </si>
  <si>
    <t>=NL("First","Item Unit of Measure","Weight","Item No.",IF($E163="",$B163,$E163),"code","ea")</t>
  </si>
  <si>
    <t>=NL("First","Item","Country/Region of Origin Code","No.",IF($E163="",$B163,$E163))</t>
  </si>
  <si>
    <t>=NL("First","Item","Tariff No.","No.",IF($E163="",$B163,$E163))</t>
  </si>
  <si>
    <t>=NL("First","Item Cross Reference","Cross-Reference No.","Item No.",IF($E163="",$B163,$E163),"Cross-Reference Type No.","EAN 13","Unit of Measure","EA","Send to Whse","True")</t>
  </si>
  <si>
    <t>=IF(E164="","",1)</t>
  </si>
  <si>
    <t>=NL("First","Item Unit of Measure","Height","Item No.",IF($E164="",$B164,$E164),"code","ea")</t>
  </si>
  <si>
    <t>=NL("First","Item Unit of Measure","Width","Item No.",IF($E164="",$B164,$E164),"code","ea")</t>
  </si>
  <si>
    <t>=NL("First","Item Unit of Measure","Length","Item No.",IF($E164="",$B164,$E164),"code","ea")</t>
  </si>
  <si>
    <t>=NL("First","Item Unit of Measure","Weight","Item No.",IF($E164="",$B164,$E164),"code","ea")</t>
  </si>
  <si>
    <t>=NL("First","Item","Country/Region of Origin Code","No.",IF($E164="",$B164,$E164))</t>
  </si>
  <si>
    <t>=NL("First","Item","Tariff No.","No.",IF($E164="",$B164,$E164))</t>
  </si>
  <si>
    <t>=NL("First","Item Cross Reference","Cross-Reference No.","Item No.",IF($E164="",$B164,$E164),"Cross-Reference Type No.","EAN 13","Unit of Measure","EA","Send to Whse","True")</t>
  </si>
  <si>
    <t>=NL("First","Item Cross Reference","Cross-Reference No.","Item No.",IF($E165="",$B165,$E165),"Cross-Reference Type No.","EAN 13","Unit of Measure","EA","Send to Whse","True")</t>
  </si>
  <si>
    <t>=IF(E166="","",1)</t>
  </si>
  <si>
    <t>=NL("First","Item Unit of Measure","Height","Item No.",IF($E166="",$B166,$E166),"code","ea")</t>
  </si>
  <si>
    <t>=NL("First","Item Unit of Measure","Width","Item No.",IF($E166="",$B166,$E166),"code","ea")</t>
  </si>
  <si>
    <t>=NL("First","Item Unit of Measure","Length","Item No.",IF($E166="",$B166,$E166),"code","ea")</t>
  </si>
  <si>
    <t>=NL("First","Item Unit of Measure","Weight","Item No.",IF($E166="",$B166,$E166),"code","ea")</t>
  </si>
  <si>
    <t>=NL("First","Item","Country/Region of Origin Code","No.",IF($E166="",$B166,$E166))</t>
  </si>
  <si>
    <t>=NL("First","Item","Tariff No.","No.",IF($E166="",$B166,$E166))</t>
  </si>
  <si>
    <t>=NL("First","Item Cross Reference","Cross-Reference No.","Item No.",IF($E166="",$B166,$E166),"Cross-Reference Type No.","EAN 13","Unit of Measure","EA","Send to Whse","True")</t>
  </si>
  <si>
    <t>=IF(E167="","",1)</t>
  </si>
  <si>
    <t>=NL("First","Item Unit of Measure","Height","Item No.",IF($E167="",$B167,$E167),"code","ea")</t>
  </si>
  <si>
    <t>=NL("First","Item Unit of Measure","Width","Item No.",IF($E167="",$B167,$E167),"code","ea")</t>
  </si>
  <si>
    <t>=NL("First","Item Unit of Measure","Length","Item No.",IF($E167="",$B167,$E167),"code","ea")</t>
  </si>
  <si>
    <t>=NL("First","Item Unit of Measure","Weight","Item No.",IF($E167="",$B167,$E167),"code","ea")</t>
  </si>
  <si>
    <t>=NL("First","Item","Country/Region of Origin Code","No.",IF($E167="",$B167,$E167))</t>
  </si>
  <si>
    <t>=NL("First","Item","Tariff No.","No.",IF($E167="",$B167,$E167))</t>
  </si>
  <si>
    <t>=NL("First","Item Cross Reference","Cross-Reference No.","Item No.",IF($E167="",$B167,$E167),"Cross-Reference Type No.","EAN 13","Unit of Measure","EA","Send to Whse","True")</t>
  </si>
  <si>
    <t>=NL("First","Item Cross Reference","Cross-Reference No.","Item No.",IF($E168="",$B168,$E168),"Cross-Reference Type No.","EAN 13","Unit of Measure","EA","Send to Whse","True")</t>
  </si>
  <si>
    <t>=IF(E169="","",1)</t>
  </si>
  <si>
    <t>=NL("First","Item Unit of Measure","Height","Item No.",IF($E169="",$B169,$E169),"code","ea")</t>
  </si>
  <si>
    <t>=NL("First","Item Unit of Measure","Width","Item No.",IF($E169="",$B169,$E169),"code","ea")</t>
  </si>
  <si>
    <t>=NL("First","Item Unit of Measure","Length","Item No.",IF($E169="",$B169,$E169),"code","ea")</t>
  </si>
  <si>
    <t>=NL("First","Item Unit of Measure","Weight","Item No.",IF($E169="",$B169,$E169),"code","ea")</t>
  </si>
  <si>
    <t>=NL("First","Item","Country/Region of Origin Code","No.",IF($E169="",$B169,$E169))</t>
  </si>
  <si>
    <t>=NL("First","Item","Tariff No.","No.",IF($E169="",$B169,$E169))</t>
  </si>
  <si>
    <t>=NL("First","Item Cross Reference","Cross-Reference No.","Item No.",IF($E169="",$B169,$E169),"Cross-Reference Type No.","EAN 13","Unit of Measure","EA","Send to Whse","True")</t>
  </si>
  <si>
    <t>=IF(E170="","",1)</t>
  </si>
  <si>
    <t>=NL("First","Item Unit of Measure","Height","Item No.",IF($E170="",$B170,$E170),"code","ea")</t>
  </si>
  <si>
    <t>=NL("First","Item Unit of Measure","Width","Item No.",IF($E170="",$B170,$E170),"code","ea")</t>
  </si>
  <si>
    <t>=NL("First","Item Unit of Measure","Length","Item No.",IF($E170="",$B170,$E170),"code","ea")</t>
  </si>
  <si>
    <t>=NL("First","Item Unit of Measure","Weight","Item No.",IF($E170="",$B170,$E170),"code","ea")</t>
  </si>
  <si>
    <t>=NL("First","Item","Country/Region of Origin Code","No.",IF($E170="",$B170,$E170))</t>
  </si>
  <si>
    <t>=NL("First","Item","Tariff No.","No.",IF($E170="",$B170,$E170))</t>
  </si>
  <si>
    <t>=NL("First","Item Cross Reference","Cross-Reference No.","Item No.",IF($E170="",$B170,$E170),"Cross-Reference Type No.","EAN 13","Unit of Measure","EA","Send to Whse","True")</t>
  </si>
  <si>
    <t>=NL("First","Item Cross Reference","Cross-Reference No.","Item No.",IF($E171="",$B171,$E171),"Cross-Reference Type No.","EAN 13","Unit of Measure","EA","Send to Whse","True")</t>
  </si>
  <si>
    <t>=IF(E172="","",1)</t>
  </si>
  <si>
    <t>=NL("First","Item Unit of Measure","Height","Item No.",IF($E172="",$B172,$E172),"code","ea")</t>
  </si>
  <si>
    <t>=NL("First","Item Unit of Measure","Width","Item No.",IF($E172="",$B172,$E172),"code","ea")</t>
  </si>
  <si>
    <t>=NL("First","Item Unit of Measure","Length","Item No.",IF($E172="",$B172,$E172),"code","ea")</t>
  </si>
  <si>
    <t>=NL("First","Item Unit of Measure","Weight","Item No.",IF($E172="",$B172,$E172),"code","ea")</t>
  </si>
  <si>
    <t>=NL("First","Item","Country/Region of Origin Code","No.",IF($E172="",$B172,$E172))</t>
  </si>
  <si>
    <t>=NL("First","Item","Tariff No.","No.",IF($E172="",$B172,$E172))</t>
  </si>
  <si>
    <t>=NL("First","Item Cross Reference","Cross-Reference No.","Item No.",IF($E172="",$B172,$E172),"Cross-Reference Type No.","EAN 13","Unit of Measure","EA","Send to Whse","True")</t>
  </si>
  <si>
    <t>=IF(E173="","",1)</t>
  </si>
  <si>
    <t>=NL("First","Item Unit of Measure","Height","Item No.",IF($E173="",$B173,$E173),"code","ea")</t>
  </si>
  <si>
    <t>=NL("First","Item Unit of Measure","Width","Item No.",IF($E173="",$B173,$E173),"code","ea")</t>
  </si>
  <si>
    <t>=NL("First","Item Unit of Measure","Length","Item No.",IF($E173="",$B173,$E173),"code","ea")</t>
  </si>
  <si>
    <t>=NL("First","Item Unit of Measure","Weight","Item No.",IF($E173="",$B173,$E173),"code","ea")</t>
  </si>
  <si>
    <t>=NL("First","Item","Country/Region of Origin Code","No.",IF($E173="",$B173,$E173))</t>
  </si>
  <si>
    <t>=NL("First","Item","Tariff No.","No.",IF($E173="",$B173,$E173))</t>
  </si>
  <si>
    <t>=NL("First","Item Cross Reference","Cross-Reference No.","Item No.",IF($E173="",$B173,$E173),"Cross-Reference Type No.","EAN 13","Unit of Measure","EA","Send to Whse","True")</t>
  </si>
  <si>
    <t>=NL("First","Item Cross Reference","Cross-Reference No.","Item No.",IF($E174="",$B174,$E174),"Cross-Reference Type No.","EAN 13","Unit of Measure","EA","Send to Whse","True")</t>
  </si>
  <si>
    <t>=IF(E175="","",1)</t>
  </si>
  <si>
    <t>=NL("First","Item Unit of Measure","Height","Item No.",IF($E175="",$B175,$E175),"code","ea")</t>
  </si>
  <si>
    <t>=NL("First","Item Unit of Measure","Width","Item No.",IF($E175="",$B175,$E175),"code","ea")</t>
  </si>
  <si>
    <t>=NL("First","Item Unit of Measure","Length","Item No.",IF($E175="",$B175,$E175),"code","ea")</t>
  </si>
  <si>
    <t>=NL("First","Item Unit of Measure","Weight","Item No.",IF($E175="",$B175,$E175),"code","ea")</t>
  </si>
  <si>
    <t>=NL("First","Item","Country/Region of Origin Code","No.",IF($E175="",$B175,$E175))</t>
  </si>
  <si>
    <t>=NL("First","Item","Tariff No.","No.",IF($E175="",$B175,$E175))</t>
  </si>
  <si>
    <t>=NL("First","Item Cross Reference","Cross-Reference No.","Item No.",IF($E175="",$B175,$E175),"Cross-Reference Type No.","EAN 13","Unit of Measure","EA","Send to Whse","True")</t>
  </si>
  <si>
    <t>=IF(E176="","",1)</t>
  </si>
  <si>
    <t>=NL("First","Item Unit of Measure","Height","Item No.",IF($E176="",$B176,$E176),"code","ea")</t>
  </si>
  <si>
    <t>=NL("First","Item Unit of Measure","Width","Item No.",IF($E176="",$B176,$E176),"code","ea")</t>
  </si>
  <si>
    <t>=NL("First","Item Unit of Measure","Length","Item No.",IF($E176="",$B176,$E176),"code","ea")</t>
  </si>
  <si>
    <t>=NL("First","Item Unit of Measure","Weight","Item No.",IF($E176="",$B176,$E176),"code","ea")</t>
  </si>
  <si>
    <t>=NL("First","Item","Country/Region of Origin Code","No.",IF($E176="",$B176,$E176))</t>
  </si>
  <si>
    <t>=NL("First","Item","Tariff No.","No.",IF($E176="",$B176,$E176))</t>
  </si>
  <si>
    <t>=NL("First","Item Cross Reference","Cross-Reference No.","Item No.",IF($E176="",$B176,$E176),"Cross-Reference Type No.","EAN 13","Unit of Measure","EA","Send to Whse","True")</t>
  </si>
  <si>
    <t>=NL("First","Item Cross Reference","Cross-Reference No.","Item No.",IF($E177="",$B177,$E177),"Cross-Reference Type No.","EAN 13","Unit of Measure","EA","Send to Whse","True")</t>
  </si>
  <si>
    <t>=IF(E178="","",1)</t>
  </si>
  <si>
    <t>=NL("First","Item Unit of Measure","Height","Item No.",IF($E178="",$B178,$E178),"code","ea")</t>
  </si>
  <si>
    <t>=NL("First","Item Unit of Measure","Width","Item No.",IF($E178="",$B178,$E178),"code","ea")</t>
  </si>
  <si>
    <t>=NL("First","Item Unit of Measure","Length","Item No.",IF($E178="",$B178,$E178),"code","ea")</t>
  </si>
  <si>
    <t>=NL("First","Item Unit of Measure","Weight","Item No.",IF($E178="",$B178,$E178),"code","ea")</t>
  </si>
  <si>
    <t>=NL("First","Item","Country/Region of Origin Code","No.",IF($E178="",$B178,$E178))</t>
  </si>
  <si>
    <t>=NL("First","Item","Tariff No.","No.",IF($E178="",$B178,$E178))</t>
  </si>
  <si>
    <t>=NL("First","Item Cross Reference","Cross-Reference No.","Item No.",IF($E178="",$B178,$E178),"Cross-Reference Type No.","EAN 13","Unit of Measure","EA","Send to Whse","True")</t>
  </si>
  <si>
    <t>=IF(E179="","",1)</t>
  </si>
  <si>
    <t>=NL("First","Item Unit of Measure","Height","Item No.",IF($E179="",$B179,$E179),"code","ea")</t>
  </si>
  <si>
    <t>=NL("First","Item Unit of Measure","Width","Item No.",IF($E179="",$B179,$E179),"code","ea")</t>
  </si>
  <si>
    <t>=NL("First","Item Unit of Measure","Length","Item No.",IF($E179="",$B179,$E179),"code","ea")</t>
  </si>
  <si>
    <t>=NL("First","Item Unit of Measure","Weight","Item No.",IF($E179="",$B179,$E179),"code","ea")</t>
  </si>
  <si>
    <t>=NL("First","Item","Country/Region of Origin Code","No.",IF($E179="",$B179,$E179))</t>
  </si>
  <si>
    <t>=NL("First","Item","Tariff No.","No.",IF($E179="",$B179,$E179))</t>
  </si>
  <si>
    <t>=NL("First","Item Cross Reference","Cross-Reference No.","Item No.",IF($E179="",$B179,$E179),"Cross-Reference Type No.","EAN 13","Unit of Measure","EA","Send to Whse","True")</t>
  </si>
  <si>
    <t>=NL("First","Item","Country/Region of Origin Code","No.",IF($E180="",$B180,$E180))</t>
  </si>
  <si>
    <t>=NL("First","Item","Tariff No.","No.",IF($E180="",$B180,$E180))</t>
  </si>
  <si>
    <t>=NL("First","Item Cross Reference","Cross-Reference No.","Item No.",IF($E180="",$B180,$E180),"Cross-Reference Type No.","EAN 13","Unit of Measure","EA","Send to Whse","True")</t>
  </si>
  <si>
    <t>=IF(E181="","",1)</t>
  </si>
  <si>
    <t>=NL("First","Item Unit of Measure","Height","Item No.",IF($E181="",$B181,$E181),"code","ea")</t>
  </si>
  <si>
    <t>=NL("First","Item Unit of Measure","Width","Item No.",IF($E181="",$B181,$E181),"code","ea")</t>
  </si>
  <si>
    <t>=NL("First","Item Unit of Measure","Length","Item No.",IF($E181="",$B181,$E181),"code","ea")</t>
  </si>
  <si>
    <t>=NL("First","Item Unit of Measure","Weight","Item No.",IF($E181="",$B181,$E181),"code","ea")</t>
  </si>
  <si>
    <t>=NL("First","Item","Country/Region of Origin Code","No.",IF($E181="",$B181,$E181))</t>
  </si>
  <si>
    <t>=NL("First","Item","Tariff No.","No.",IF($E181="",$B181,$E181))</t>
  </si>
  <si>
    <t>=NL("First","Item Cross Reference","Cross-Reference No.","Item No.",IF($E181="",$B181,$E181),"Cross-Reference Type No.","EAN 13","Unit of Measure","EA","Send to Whse","True")</t>
  </si>
  <si>
    <t>=IF(E182="","",1)</t>
  </si>
  <si>
    <t>=NL("First","Item Unit of Measure","Height","Item No.",IF($E182="",$B182,$E182),"code","ea")</t>
  </si>
  <si>
    <t>=NL("First","Item Unit of Measure","Width","Item No.",IF($E182="",$B182,$E182),"code","ea")</t>
  </si>
  <si>
    <t>=NL("First","Item Unit of Measure","Length","Item No.",IF($E182="",$B182,$E182),"code","ea")</t>
  </si>
  <si>
    <t>=NL("First","Item Unit of Measure","Weight","Item No.",IF($E182="",$B182,$E182),"code","ea")</t>
  </si>
  <si>
    <t>=NL("First","Item","Country/Region of Origin Code","No.",IF($E182="",$B182,$E182))</t>
  </si>
  <si>
    <t>=NL("First","Item","Tariff No.","No.",IF($E182="",$B182,$E182))</t>
  </si>
  <si>
    <t>=NL("First","Item Cross Reference","Cross-Reference No.","Item No.",IF($E182="",$B182,$E182),"Cross-Reference Type No.","EAN 13","Unit of Measure","EA","Send to Whse","True")</t>
  </si>
  <si>
    <t>=NL("First","Item Cross Reference","Cross-Reference No.","Item No.",IF($E183="",$B183,$E183),"Cross-Reference Type No.","EAN 13","Unit of Measure","EA","Send to Whse","True")</t>
  </si>
  <si>
    <t>=IF(E184="","",1)</t>
  </si>
  <si>
    <t>=NL("First","Item Unit of Measure","Height","Item No.",IF($E184="",$B184,$E184),"code","ea")</t>
  </si>
  <si>
    <t>=NL("First","Item Unit of Measure","Width","Item No.",IF($E184="",$B184,$E184),"code","ea")</t>
  </si>
  <si>
    <t>=NL("First","Item Unit of Measure","Length","Item No.",IF($E184="",$B184,$E184),"code","ea")</t>
  </si>
  <si>
    <t>=NL("First","Item Unit of Measure","Weight","Item No.",IF($E184="",$B184,$E184),"code","ea")</t>
  </si>
  <si>
    <t>=NL("First","Item","Country/Region of Origin Code","No.",IF($E184="",$B184,$E184))</t>
  </si>
  <si>
    <t>=NL("First","Item","Tariff No.","No.",IF($E184="",$B184,$E184))</t>
  </si>
  <si>
    <t>=NL("First","Item Cross Reference","Cross-Reference No.","Item No.",IF($E184="",$B184,$E184),"Cross-Reference Type No.","EAN 13","Unit of Measure","EA","Send to Whse","True")</t>
  </si>
  <si>
    <t>=IF(E185="","",1)</t>
  </si>
  <si>
    <t>=NL("First","Item Unit of Measure","Height","Item No.",IF($E185="",$B185,$E185),"code","ea")</t>
  </si>
  <si>
    <t>=NL("First","Item Unit of Measure","Width","Item No.",IF($E185="",$B185,$E185),"code","ea")</t>
  </si>
  <si>
    <t>=NL("First","Item Unit of Measure","Length","Item No.",IF($E185="",$B185,$E185),"code","ea")</t>
  </si>
  <si>
    <t>=NL("First","Item Unit of Measure","Weight","Item No.",IF($E185="",$B185,$E185),"code","ea")</t>
  </si>
  <si>
    <t>=NL("First","Item","Country/Region of Origin Code","No.",IF($E185="",$B185,$E185))</t>
  </si>
  <si>
    <t>=NL("First","Item","Tariff No.","No.",IF($E185="",$B185,$E185))</t>
  </si>
  <si>
    <t>=NL("First","Item Cross Reference","Cross-Reference No.","Item No.",IF($E185="",$B185,$E185),"Cross-Reference Type No.","EAN 13","Unit of Measure","EA","Send to Whse","True")</t>
  </si>
  <si>
    <t>=NL("First","Item Cross Reference","Cross-Reference No.","Item No.",IF($E186="",$B186,$E186),"Cross-Reference Type No.","EAN 13","Unit of Measure","EA","Send to Whse","True")</t>
  </si>
  <si>
    <t>4</t>
  </si>
  <si>
    <t>=NL("First","Item Unit of Measure","Height","Item No.",IF($E187="",$B187,$E187),"code","ea")</t>
  </si>
  <si>
    <t>=NL("First","Item Unit of Measure","Width","Item No.",IF($E187="",$B187,$E187),"code","ea")</t>
  </si>
  <si>
    <t>=NL("First","Item Unit of Measure","Length","Item No.",IF($E187="",$B187,$E187),"code","ea")</t>
  </si>
  <si>
    <t>=NL("First","Item Unit of Measure","Weight","Item No.",IF($E187="",$B187,$E187),"code","ea")</t>
  </si>
  <si>
    <t>=NL("First","Item","Country/Region of Origin Code","No.",IF($E187="",$B187,$E187))</t>
  </si>
  <si>
    <t>=NL("First","Item","Tariff No.","No.",IF($E187="",$B187,$E187))</t>
  </si>
  <si>
    <t>=NL("First","Item Cross Reference","Cross-Reference No.","Item No.",IF($E187="",$B187,$E187),"Cross-Reference Type No.","EAN 13","Unit of Measure","EA","Send to Whse","True")</t>
  </si>
  <si>
    <t>3</t>
  </si>
  <si>
    <t>=NL("First","Item Unit of Measure","Height","Item No.",IF($E188="",$B188,$E188),"code","ea")</t>
  </si>
  <si>
    <t>=NL("First","Item Unit of Measure","Width","Item No.",IF($E188="",$B188,$E188),"code","ea")</t>
  </si>
  <si>
    <t>=NL("First","Item Unit of Measure","Length","Item No.",IF($E188="",$B188,$E188),"code","ea")</t>
  </si>
  <si>
    <t>=NL("First","Item Unit of Measure","Weight","Item No.",IF($E188="",$B188,$E188),"code","ea")</t>
  </si>
  <si>
    <t>=NL("First","Item","Country/Region of Origin Code","No.",IF($E188="",$B188,$E188))</t>
  </si>
  <si>
    <t>=NL("First","Item","Tariff No.","No.",IF($E188="",$B188,$E188))</t>
  </si>
  <si>
    <t>=NL("First","Item Cross Reference","Cross-Reference No.","Item No.",IF($E188="",$B188,$E188),"Cross-Reference Type No.","EAN 13","Unit of Measure","EA","Send to Whse","True")</t>
  </si>
  <si>
    <t>=NL("First","Item Unit of Measure","Height","Item No.",IF($E189="",$B189,$E189),"code","ea")</t>
  </si>
  <si>
    <t>=NL("First","Item Unit of Measure","Width","Item No.",IF($E189="",$B189,$E189),"code","ea")</t>
  </si>
  <si>
    <t>=NL("First","Item Unit of Measure","Length","Item No.",IF($E189="",$B189,$E189),"code","ea")</t>
  </si>
  <si>
    <t>=NL("First","Item Unit of Measure","Weight","Item No.",IF($E189="",$B189,$E189),"code","ea")</t>
  </si>
  <si>
    <t>=NL("First","Item","Country/Region of Origin Code","No.",IF($E189="",$B189,$E189))</t>
  </si>
  <si>
    <t>=NL("First","Item","Tariff No.","No.",IF($E189="",$B189,$E189))</t>
  </si>
  <si>
    <t>=NL("First","Item Cross Reference","Cross-Reference No.","Item No.",IF($E189="",$B189,$E189),"Cross-Reference Type No.","EAN 13","Unit of Measure","EA","Send to Whse","True")</t>
  </si>
  <si>
    <t>=NL("First","Item Cross Reference","Cross-Reference No.","Item No.",IF($E190="",$B190,$E190),"Cross-Reference Type No.","EAN 13","Unit of Measure","EA","Send to Whse","True")</t>
  </si>
  <si>
    <t>=NL("First","Item Unit of Measure","Height","Item No.",IF($E191="",$B191,$E191),"code","ea")</t>
  </si>
  <si>
    <t>=NL("First","Item Unit of Measure","Width","Item No.",IF($E191="",$B191,$E191),"code","ea")</t>
  </si>
  <si>
    <t>=NL("First","Item Unit of Measure","Length","Item No.",IF($E191="",$B191,$E191),"code","ea")</t>
  </si>
  <si>
    <t>=NL("First","Item Unit of Measure","Weight","Item No.",IF($E191="",$B191,$E191),"code","ea")</t>
  </si>
  <si>
    <t>=NL("First","Item","Country/Region of Origin Code","No.",IF($E191="",$B191,$E191))</t>
  </si>
  <si>
    <t>=NL("First","Item","Tariff No.","No.",IF($E191="",$B191,$E191))</t>
  </si>
  <si>
    <t>=NL("First","Item Cross Reference","Cross-Reference No.","Item No.",IF($E191="",$B191,$E191),"Cross-Reference Type No.","EAN 13","Unit of Measure","EA","Send to Whse","True")</t>
  </si>
  <si>
    <t>2</t>
  </si>
  <si>
    <t>=NL("First","Item Unit of Measure","Height","Item No.",IF($E192="",$B192,$E192),"code","ea")</t>
  </si>
  <si>
    <t>=NL("First","Item Unit of Measure","Width","Item No.",IF($E192="",$B192,$E192),"code","ea")</t>
  </si>
  <si>
    <t>=NL("First","Item Unit of Measure","Length","Item No.",IF($E192="",$B192,$E192),"code","ea")</t>
  </si>
  <si>
    <t>=NL("First","Item Unit of Measure","Weight","Item No.",IF($E192="",$B192,$E192),"code","ea")</t>
  </si>
  <si>
    <t>=NL("First","Item","Country/Region of Origin Code","No.",IF($E192="",$B192,$E192))</t>
  </si>
  <si>
    <t>=NL("First","Item","Tariff No.","No.",IF($E192="",$B192,$E192))</t>
  </si>
  <si>
    <t>=NL("First","Item Cross Reference","Cross-Reference No.","Item No.",IF($E192="",$B192,$E192),"Cross-Reference Type No.","EAN 13","Unit of Measure","EA","Send to Whse","True")</t>
  </si>
  <si>
    <t>=NL("First","Item Unit of Measure","Height","Item No.",IF($E193="",$B193,$E193),"code","ea")</t>
  </si>
  <si>
    <t>=NL("First","Item Unit of Measure","Width","Item No.",IF($E193="",$B193,$E193),"code","ea")</t>
  </si>
  <si>
    <t>=NL("First","Item Unit of Measure","Length","Item No.",IF($E193="",$B193,$E193),"code","ea")</t>
  </si>
  <si>
    <t>=NL("First","Item Unit of Measure","Weight","Item No.",IF($E193="",$B193,$E193),"code","ea")</t>
  </si>
  <si>
    <t>=NL("First","Item","Country/Region of Origin Code","No.",IF($E193="",$B193,$E193))</t>
  </si>
  <si>
    <t>=NL("First","Item","Tariff No.","No.",IF($E193="",$B193,$E193))</t>
  </si>
  <si>
    <t>=NL("First","Item Cross Reference","Cross-Reference No.","Item No.",IF($E193="",$B193,$E193),"Cross-Reference Type No.","EAN 13","Unit of Measure","EA","Send to Whse","True")</t>
  </si>
  <si>
    <t>=IF(E194="","",1)</t>
  </si>
  <si>
    <t>=NL("First","Item Unit of Measure","Height","Item No.",IF($E194="",$B194,$E194),"code","ea")</t>
  </si>
  <si>
    <t>=NL("First","Item Unit of Measure","Width","Item No.",IF($E194="",$B194,$E194),"code","ea")</t>
  </si>
  <si>
    <t>=NL("First","Item Unit of Measure","Length","Item No.",IF($E194="",$B194,$E194),"code","ea")</t>
  </si>
  <si>
    <t>=NL("First","Item Unit of Measure","Weight","Item No.",IF($E194="",$B194,$E194),"code","ea")</t>
  </si>
  <si>
    <t>=NL("First","Item","Country/Region of Origin Code","No.",IF($E194="",$B194,$E194))</t>
  </si>
  <si>
    <t>=NL("First","Item","Tariff No.","No.",IF($E194="",$B194,$E194))</t>
  </si>
  <si>
    <t>=NL("First","Item Cross Reference","Cross-Reference No.","Item No.",IF($E194="",$B194,$E194),"Cross-Reference Type No.","EAN 13","Unit of Measure","EA","Send to Whse","True")</t>
  </si>
  <si>
    <t>=NL("First","Item Cross Reference","Cross-Reference No.","Item No.",IF($E195="",$B195,$E195),"Cross-Reference Type No.","EAN 13","Unit of Measure","EA","Send to Whse","True")</t>
  </si>
  <si>
    <t>=NL("First","Item Unit of Measure","Height","Item No.",IF($E196="",$B196,$E196),"code","ea")</t>
  </si>
  <si>
    <t>=NL("First","Item Unit of Measure","Width","Item No.",IF($E196="",$B196,$E196),"code","ea")</t>
  </si>
  <si>
    <t>=NL("First","Item Unit of Measure","Length","Item No.",IF($E196="",$B196,$E196),"code","ea")</t>
  </si>
  <si>
    <t>=NL("First","Item Unit of Measure","Weight","Item No.",IF($E196="",$B196,$E196),"code","ea")</t>
  </si>
  <si>
    <t>=NL("First","Item","Country/Region of Origin Code","No.",IF($E196="",$B196,$E196))</t>
  </si>
  <si>
    <t>=NL("First","Item","Tariff No.","No.",IF($E196="",$B196,$E196))</t>
  </si>
  <si>
    <t>=NL("First","Item Cross Reference","Cross-Reference No.","Item No.",IF($E196="",$B196,$E196),"Cross-Reference Type No.","EAN 13","Unit of Measure","EA","Send to Whse","True")</t>
  </si>
  <si>
    <t>=NL("First","Item Unit of Measure","Height","Item No.",IF($E197="",$B197,$E197),"code","ea")</t>
  </si>
  <si>
    <t>=NL("First","Item Unit of Measure","Width","Item No.",IF($E197="",$B197,$E197),"code","ea")</t>
  </si>
  <si>
    <t>=NL("First","Item Unit of Measure","Length","Item No.",IF($E197="",$B197,$E197),"code","ea")</t>
  </si>
  <si>
    <t>=NL("First","Item Unit of Measure","Weight","Item No.",IF($E197="",$B197,$E197),"code","ea")</t>
  </si>
  <si>
    <t>=NL("First","Item","Country/Region of Origin Code","No.",IF($E197="",$B197,$E197))</t>
  </si>
  <si>
    <t>=NL("First","Item","Tariff No.","No.",IF($E197="",$B197,$E197))</t>
  </si>
  <si>
    <t>=NL("First","Item Cross Reference","Cross-Reference No.","Item No.",IF($E197="",$B197,$E197),"Cross-Reference Type No.","EAN 13","Unit of Measure","EA","Send to Whse","True")</t>
  </si>
  <si>
    <t>Auto+Hide+Values+Formulas=Sheet1,Sheet2+FormulasOnly</t>
  </si>
  <si>
    <t>=NL("First","Item Unit of Measure","Height","Item No.",IF($E7="",$B7,$E7),"code","ea")</t>
  </si>
  <si>
    <t>=NL("First","Item Unit of Measure","Width","Item No.",IF($E7="",$B7,$E7),"code","ea")</t>
  </si>
  <si>
    <t>=NL("First","Item Unit of Measure","Length","Item No.",IF($E7="",$B7,$E7),"code","ea")</t>
  </si>
  <si>
    <t>=NL("First","Item Unit of Measure","Weight","Item No.",IF($E7="",$B7,$E7),"code","ea")</t>
  </si>
  <si>
    <t>=NL("First","Item","Country/Region of Origin Code","No.",IF($E7="",$B7,$E7))</t>
  </si>
  <si>
    <t>=NL("First","Item","Tariff No.","No.",IF($E7="",$B7,$E7))</t>
  </si>
  <si>
    <t>=NL("First","Item Cross Reference","Cross-Reference No.","Item No.",IF($E7="",$B7,$E7),"Cross-Reference Type No.","EAN 13","Unit of Measure","EA","Send to Whse","True")</t>
  </si>
  <si>
    <t>=NL("First","Item Unit of Measure","Height","Item No.",IF($E10="",$B10,$E10),"code","ea")</t>
  </si>
  <si>
    <t>=NL("First","Item Unit of Measure","Width","Item No.",IF($E10="",$B10,$E10),"code","ea")</t>
  </si>
  <si>
    <t>=NL("First","Item Unit of Measure","Length","Item No.",IF($E10="",$B10,$E10),"code","ea")</t>
  </si>
  <si>
    <t>=NL("First","Item Unit of Measure","Weight","Item No.",IF($E10="",$B10,$E10),"code","ea")</t>
  </si>
  <si>
    <t>=NL("First","Item","Country/Region of Origin Code","No.",IF($E10="",$B10,$E10))</t>
  </si>
  <si>
    <t>=NL("First","Item","Tariff No.","No.",IF($E10="",$B10,$E10))</t>
  </si>
  <si>
    <t>=NL("First","Item Unit of Measure","Height","Item No.",IF($E13="",$B13,$E13),"code","ea")</t>
  </si>
  <si>
    <t>=NL("First","Item Unit of Measure","Width","Item No.",IF($E13="",$B13,$E13),"code","ea")</t>
  </si>
  <si>
    <t>=NL("First","Item Unit of Measure","Length","Item No.",IF($E13="",$B13,$E13),"code","ea")</t>
  </si>
  <si>
    <t>=NL("First","Item Unit of Measure","Weight","Item No.",IF($E13="",$B13,$E13),"code","ea")</t>
  </si>
  <si>
    <t>=NL("First","Item","Country/Region of Origin Code","No.",IF($E13="",$B13,$E13))</t>
  </si>
  <si>
    <t>=NL("First","Item","Tariff No.","No.",IF($E13="",$B13,$E13))</t>
  </si>
  <si>
    <t>=NL("First","Item Unit of Measure","Height","Item No.",IF($E16="",$B16,$E16),"code","ea")</t>
  </si>
  <si>
    <t>=NL("First","Item Unit of Measure","Width","Item No.",IF($E16="",$B16,$E16),"code","ea")</t>
  </si>
  <si>
    <t>=NL("First","Item Unit of Measure","Length","Item No.",IF($E16="",$B16,$E16),"code","ea")</t>
  </si>
  <si>
    <t>=NL("First","Item Unit of Measure","Weight","Item No.",IF($E16="",$B16,$E16),"code","ea")</t>
  </si>
  <si>
    <t>=NL("First","Item","Country/Region of Origin Code","No.",IF($E16="",$B16,$E16))</t>
  </si>
  <si>
    <t>=NL("First","Item","Tariff No.","No.",IF($E16="",$B16,$E16))</t>
  </si>
  <si>
    <t>=NL("First","Item Unit of Measure","Height","Item No.",IF($E24="",$B24,$E24),"code","ea")</t>
  </si>
  <si>
    <t>=NL("First","Item Unit of Measure","Width","Item No.",IF($E24="",$B24,$E24),"code","ea")</t>
  </si>
  <si>
    <t>=NL("First","Item Unit of Measure","Length","Item No.",IF($E24="",$B24,$E24),"code","ea")</t>
  </si>
  <si>
    <t>=NL("First","Item Unit of Measure","Weight","Item No.",IF($E24="",$B24,$E24),"code","ea")</t>
  </si>
  <si>
    <t>=NL("First","Item","Country/Region of Origin Code","No.",IF($E24="",$B24,$E24))</t>
  </si>
  <si>
    <t>=NL("First","Item","Tariff No.","No.",IF($E24="",$B24,$E24))</t>
  </si>
  <si>
    <t>=NL("First","Item Unit of Measure","Height","Item No.",IF($E27="",$B27,$E27),"code","ea")</t>
  </si>
  <si>
    <t>=NL("First","Item Unit of Measure","Width","Item No.",IF($E27="",$B27,$E27),"code","ea")</t>
  </si>
  <si>
    <t>=NL("First","Item Unit of Measure","Length","Item No.",IF($E27="",$B27,$E27),"code","ea")</t>
  </si>
  <si>
    <t>=NL("First","Item Unit of Measure","Weight","Item No.",IF($E27="",$B27,$E27),"code","ea")</t>
  </si>
  <si>
    <t>=NL("First","Item","Country/Region of Origin Code","No.",IF($E27="",$B27,$E27))</t>
  </si>
  <si>
    <t>=NL("First","Item","Tariff No.","No.",IF($E27="",$B27,$E27))</t>
  </si>
  <si>
    <t>=NL("First","Item Unit of Measure","Height","Item No.",IF($E30="",$B30,$E30),"code","ea")</t>
  </si>
  <si>
    <t>=NL("First","Item Unit of Measure","Width","Item No.",IF($E30="",$B30,$E30),"code","ea")</t>
  </si>
  <si>
    <t>=NL("First","Item Unit of Measure","Length","Item No.",IF($E30="",$B30,$E30),"code","ea")</t>
  </si>
  <si>
    <t>=NL("First","Item Unit of Measure","Weight","Item No.",IF($E30="",$B30,$E30),"code","ea")</t>
  </si>
  <si>
    <t>=NL("First","Item","Country/Region of Origin Code","No.",IF($E30="",$B30,$E30))</t>
  </si>
  <si>
    <t>=NL("First","Item","Tariff No.","No.",IF($E30="",$B30,$E30))</t>
  </si>
  <si>
    <t>=NL("First","Item Unit of Measure","Height","Item No.",IF($E33="",$B33,$E33),"code","ea")</t>
  </si>
  <si>
    <t>=NL("First","Item Unit of Measure","Width","Item No.",IF($E33="",$B33,$E33),"code","ea")</t>
  </si>
  <si>
    <t>=NL("First","Item Unit of Measure","Length","Item No.",IF($E33="",$B33,$E33),"code","ea")</t>
  </si>
  <si>
    <t>=NL("First","Item Unit of Measure","Weight","Item No.",IF($E33="",$B33,$E33),"code","ea")</t>
  </si>
  <si>
    <t>=NL("First","Item","Country/Region of Origin Code","No.",IF($E33="",$B33,$E33))</t>
  </si>
  <si>
    <t>=NL("First","Item","Tariff No.","No.",IF($E33="",$B33,$E33))</t>
  </si>
  <si>
    <t>=NL("First","Item Unit of Measure","Height","Item No.",IF($E36="",$B36,$E36),"code","ea")</t>
  </si>
  <si>
    <t>=NL("First","Item Unit of Measure","Width","Item No.",IF($E36="",$B36,$E36),"code","ea")</t>
  </si>
  <si>
    <t>=NL("First","Item Unit of Measure","Length","Item No.",IF($E36="",$B36,$E36),"code","ea")</t>
  </si>
  <si>
    <t>=NL("First","Item Unit of Measure","Weight","Item No.",IF($E36="",$B36,$E36),"code","ea")</t>
  </si>
  <si>
    <t>=NL("First","Item","Country/Region of Origin Code","No.",IF($E36="",$B36,$E36))</t>
  </si>
  <si>
    <t>=NL("First","Item","Tariff No.","No.",IF($E36="",$B36,$E36))</t>
  </si>
  <si>
    <t>=NL("First","Item Unit of Measure","Height","Item No.",IF($E42="",$B42,$E42),"code","ea")</t>
  </si>
  <si>
    <t>=NL("First","Item Unit of Measure","Width","Item No.",IF($E42="",$B42,$E42),"code","ea")</t>
  </si>
  <si>
    <t>=NL("First","Item Unit of Measure","Length","Item No.",IF($E42="",$B42,$E42),"code","ea")</t>
  </si>
  <si>
    <t>=NL("First","Item Unit of Measure","Weight","Item No.",IF($E42="",$B42,$E42),"code","ea")</t>
  </si>
  <si>
    <t>=NL("First","Item","Country/Region of Origin Code","No.",IF($E42="",$B42,$E42))</t>
  </si>
  <si>
    <t>=NL("First","Item","Tariff No.","No.",IF($E42="",$B42,$E42))</t>
  </si>
  <si>
    <t>=NL("First","Item Unit of Measure","Height","Item No.",IF($E45="",$B45,$E45),"code","ea")</t>
  </si>
  <si>
    <t>=NL("First","Item Unit of Measure","Width","Item No.",IF($E45="",$B45,$E45),"code","ea")</t>
  </si>
  <si>
    <t>=NL("First","Item Unit of Measure","Length","Item No.",IF($E45="",$B45,$E45),"code","ea")</t>
  </si>
  <si>
    <t>=NL("First","Item Unit of Measure","Weight","Item No.",IF($E45="",$B45,$E45),"code","ea")</t>
  </si>
  <si>
    <t>=NL("First","Item","Country/Region of Origin Code","No.",IF($E45="",$B45,$E45))</t>
  </si>
  <si>
    <t>=NL("First","Item","Tariff No.","No.",IF($E45="",$B45,$E45))</t>
  </si>
  <si>
    <t>=NL("First","Item Unit of Measure","Height","Item No.",IF($E48="",$B48,$E48),"code","ea")</t>
  </si>
  <si>
    <t>=NL("First","Item Unit of Measure","Width","Item No.",IF($E48="",$B48,$E48),"code","ea")</t>
  </si>
  <si>
    <t>=NL("First","Item Unit of Measure","Length","Item No.",IF($E48="",$B48,$E48),"code","ea")</t>
  </si>
  <si>
    <t>=NL("First","Item Unit of Measure","Weight","Item No.",IF($E48="",$B48,$E48),"code","ea")</t>
  </si>
  <si>
    <t>=NL("First","Item","Country/Region of Origin Code","No.",IF($E48="",$B48,$E48))</t>
  </si>
  <si>
    <t>=NL("First","Item","Tariff No.","No.",IF($E48="",$B48,$E48))</t>
  </si>
  <si>
    <t>=NL("First","Item Unit of Measure","Height","Item No.",IF($E51="",$B51,$E51),"code","ea")</t>
  </si>
  <si>
    <t>=NL("First","Item Unit of Measure","Width","Item No.",IF($E51="",$B51,$E51),"code","ea")</t>
  </si>
  <si>
    <t>=NL("First","Item Unit of Measure","Length","Item No.",IF($E51="",$B51,$E51),"code","ea")</t>
  </si>
  <si>
    <t>=NL("First","Item Unit of Measure","Weight","Item No.",IF($E51="",$B51,$E51),"code","ea")</t>
  </si>
  <si>
    <t>=NL("First","Item","Country/Region of Origin Code","No.",IF($E51="",$B51,$E51))</t>
  </si>
  <si>
    <t>=NL("First","Item","Tariff No.","No.",IF($E51="",$B51,$E51))</t>
  </si>
  <si>
    <t>=NL("First","Item Unit of Measure","Height","Item No.",IF($E54="",$B54,$E54),"code","ea")</t>
  </si>
  <si>
    <t>=NL("First","Item Unit of Measure","Width","Item No.",IF($E54="",$B54,$E54),"code","ea")</t>
  </si>
  <si>
    <t>=NL("First","Item Unit of Measure","Length","Item No.",IF($E54="",$B54,$E54),"code","ea")</t>
  </si>
  <si>
    <t>=NL("First","Item Unit of Measure","Weight","Item No.",IF($E54="",$B54,$E54),"code","ea")</t>
  </si>
  <si>
    <t>=NL("First","Item","Country/Region of Origin Code","No.",IF($E54="",$B54,$E54))</t>
  </si>
  <si>
    <t>=NL("First","Item","Tariff No.","No.",IF($E54="",$B54,$E54))</t>
  </si>
  <si>
    <t>=NL("First","Item Unit of Measure","Height","Item No.",IF($E57="",$B57,$E57),"code","ea")</t>
  </si>
  <si>
    <t>=NL("First","Item Unit of Measure","Width","Item No.",IF($E57="",$B57,$E57),"code","ea")</t>
  </si>
  <si>
    <t>=NL("First","Item Unit of Measure","Length","Item No.",IF($E57="",$B57,$E57),"code","ea")</t>
  </si>
  <si>
    <t>=NL("First","Item Unit of Measure","Weight","Item No.",IF($E57="",$B57,$E57),"code","ea")</t>
  </si>
  <si>
    <t>=NL("First","Item","Country/Region of Origin Code","No.",IF($E57="",$B57,$E57))</t>
  </si>
  <si>
    <t>=NL("First","Item","Tariff No.","No.",IF($E57="",$B57,$E57))</t>
  </si>
  <si>
    <t>=NL("First","Item Unit of Measure","Height","Item No.",IF($E60="",$B60,$E60),"code","ea")</t>
  </si>
  <si>
    <t>=NL("First","Item Unit of Measure","Width","Item No.",IF($E60="",$B60,$E60),"code","ea")</t>
  </si>
  <si>
    <t>=NL("First","Item Unit of Measure","Length","Item No.",IF($E60="",$B60,$E60),"code","ea")</t>
  </si>
  <si>
    <t>=NL("First","Item Unit of Measure","Weight","Item No.",IF($E60="",$B60,$E60),"code","ea")</t>
  </si>
  <si>
    <t>=NL("First","Item","Country/Region of Origin Code","No.",IF($E60="",$B60,$E60))</t>
  </si>
  <si>
    <t>=NL("First","Item","Tariff No.","No.",IF($E60="",$B60,$E60))</t>
  </si>
  <si>
    <t>=NL("First","Item Unit of Measure","Height","Item No.",IF($E63="",$B63,$E63),"code","ea")</t>
  </si>
  <si>
    <t>=NL("First","Item Unit of Measure","Width","Item No.",IF($E63="",$B63,$E63),"code","ea")</t>
  </si>
  <si>
    <t>=NL("First","Item Unit of Measure","Length","Item No.",IF($E63="",$B63,$E63),"code","ea")</t>
  </si>
  <si>
    <t>=NL("First","Item Unit of Measure","Weight","Item No.",IF($E63="",$B63,$E63),"code","ea")</t>
  </si>
  <si>
    <t>=NL("First","Item","Country/Region of Origin Code","No.",IF($E63="",$B63,$E63))</t>
  </si>
  <si>
    <t>=NL("First","Item","Tariff No.","No.",IF($E63="",$B63,$E63))</t>
  </si>
  <si>
    <t>=NL("First","Item Unit of Measure","Height","Item No.",IF($E66="",$B66,$E66),"code","ea")</t>
  </si>
  <si>
    <t>=NL("First","Item Unit of Measure","Width","Item No.",IF($E66="",$B66,$E66),"code","ea")</t>
  </si>
  <si>
    <t>=NL("First","Item Unit of Measure","Length","Item No.",IF($E66="",$B66,$E66),"code","ea")</t>
  </si>
  <si>
    <t>=NL("First","Item Unit of Measure","Weight","Item No.",IF($E66="",$B66,$E66),"code","ea")</t>
  </si>
  <si>
    <t>=NL("First","Item","Country/Region of Origin Code","No.",IF($E66="",$B66,$E66))</t>
  </si>
  <si>
    <t>=NL("First","Item","Tariff No.","No.",IF($E66="",$B66,$E66))</t>
  </si>
  <si>
    <t>=NL("First","Item Unit of Measure","Height","Item No.",IF($E69="",$B69,$E69),"code","ea")</t>
  </si>
  <si>
    <t>=NL("First","Item Unit of Measure","Width","Item No.",IF($E69="",$B69,$E69),"code","ea")</t>
  </si>
  <si>
    <t>=NL("First","Item Unit of Measure","Length","Item No.",IF($E69="",$B69,$E69),"code","ea")</t>
  </si>
  <si>
    <t>=NL("First","Item Unit of Measure","Weight","Item No.",IF($E69="",$B69,$E69),"code","ea")</t>
  </si>
  <si>
    <t>=NL("First","Item","Country/Region of Origin Code","No.",IF($E69="",$B69,$E69))</t>
  </si>
  <si>
    <t>=NL("First","Item","Tariff No.","No.",IF($E69="",$B69,$E69))</t>
  </si>
  <si>
    <t>=NL("First","Item Unit of Measure","Height","Item No.",IF($E72="",$B72,$E72),"code","ea")</t>
  </si>
  <si>
    <t>=NL("First","Item Unit of Measure","Width","Item No.",IF($E72="",$B72,$E72),"code","ea")</t>
  </si>
  <si>
    <t>=NL("First","Item Unit of Measure","Length","Item No.",IF($E72="",$B72,$E72),"code","ea")</t>
  </si>
  <si>
    <t>=NL("First","Item Unit of Measure","Weight","Item No.",IF($E72="",$B72,$E72),"code","ea")</t>
  </si>
  <si>
    <t>=NL("First","Item","Country/Region of Origin Code","No.",IF($E72="",$B72,$E72))</t>
  </si>
  <si>
    <t>=NL("First","Item","Tariff No.","No.",IF($E72="",$B72,$E72))</t>
  </si>
  <si>
    <t>=NL("First","Item Unit of Measure","Height","Item No.",IF($E118="",$B118,$E118),"code","ea")</t>
  </si>
  <si>
    <t>=NL("First","Item Unit of Measure","Width","Item No.",IF($E118="",$B118,$E118),"code","ea")</t>
  </si>
  <si>
    <t>=NL("First","Item Unit of Measure","Length","Item No.",IF($E118="",$B118,$E118),"code","ea")</t>
  </si>
  <si>
    <t>=NL("First","Item Unit of Measure","Weight","Item No.",IF($E118="",$B118,$E118),"code","ea")</t>
  </si>
  <si>
    <t>=NL("First","Item","Country/Region of Origin Code","No.",IF($E118="",$B118,$E118))</t>
  </si>
  <si>
    <t>=NL("First","Item","Tariff No.","No.",IF($E118="",$B118,$E118))</t>
  </si>
  <si>
    <t>Auto+Hide+Formulas=Sheet3,Sheet4+FormulasOnly</t>
  </si>
  <si>
    <t>Auto+Hide+Values+Formulas=Sheet5,Sheet6+FormulasOnly</t>
  </si>
  <si>
    <t>=NL("Last","Item","Description","No.",$B7)</t>
  </si>
  <si>
    <t>=NL("Last","Sales Price","Unit Price","Item No.",$B7,"Ending Date","''","Sales Code","EUR PRICE")</t>
  </si>
  <si>
    <t>=NL("Last","Item","Multiple Order Quantity","No.",$B7)</t>
  </si>
  <si>
    <t>=NL("Last","Item Cross Reference","Cross-Reference No.","Cross-Reference Type No.","EAN 13","Item No.",$B7,"unit of measure","ea")</t>
  </si>
  <si>
    <t>=NL("Last","Item Unit of Measure","Height","Item No.",$B7,"code","ea")</t>
  </si>
  <si>
    <t>=NL("Last","Item Unit of Measure","Width","Item No.",$B7,"code","ea")</t>
  </si>
  <si>
    <t>=NL("Last","Item Unit of Measure","Length","Item No.",$B7,"code","ea")</t>
  </si>
  <si>
    <t>=NL("Last","Item Unit of Measure","Weight","Item No.",$B7,"code","ea")</t>
  </si>
  <si>
    <t>=NL("Last","Item","Country/Region of Origin Code","No.",$B7)</t>
  </si>
  <si>
    <t>=NL("Last","Item","Tariff No.","No.",$B7)</t>
  </si>
  <si>
    <t>=NL("Last","Item","Description","No.",$B8)</t>
  </si>
  <si>
    <t>=NL("Last","Sales Price","Unit Price","Item No.",$B8,"Ending Date","''","Sales Code","EUR PRICE")</t>
  </si>
  <si>
    <t>=NL("Last","Item","Multiple Order Quantity","No.",$B8)</t>
  </si>
  <si>
    <t>=NL("Last","Item Cross Reference","Cross-Reference No.","Cross-Reference Type No.","EAN 13","Item No.",$B8,"unit of measure","ea")</t>
  </si>
  <si>
    <t>=NL("Last","Item Unit of Measure","Height","Item No.",$B8,"code","ea")</t>
  </si>
  <si>
    <t>=NL("Last","Item Unit of Measure","Width","Item No.",$B8,"code","ea")</t>
  </si>
  <si>
    <t>=NL("Last","Item Unit of Measure","Length","Item No.",$B8,"code","ea")</t>
  </si>
  <si>
    <t>=NL("Last","Item Unit of Measure","Weight","Item No.",$B8,"code","ea")</t>
  </si>
  <si>
    <t>=NL("Last","Item","Country/Region of Origin Code","No.",$B8)</t>
  </si>
  <si>
    <t>=NL("Last","Item","Tariff No.","No.",$B8)</t>
  </si>
  <si>
    <t>=NL("Last","Item","Description","No.",$B9)</t>
  </si>
  <si>
    <t>=NL("Last","Sales Price","Unit Price","Item No.",$B9,"Ending Date","''","Sales Code","EUR PRICE")</t>
  </si>
  <si>
    <t>=NL("Last","Item","Multiple Order Quantity","No.",$B9)</t>
  </si>
  <si>
    <t>=NL("Last","Item Cross Reference","Cross-Reference No.","Cross-Reference Type No.","EAN 13","Item No.",$B9,"unit of measure","ea")</t>
  </si>
  <si>
    <t>=NL("Last","Item Unit of Measure","Height","Item No.",$B9,"code","ea")</t>
  </si>
  <si>
    <t>=NL("Last","Item Unit of Measure","Width","Item No.",$B9,"code","ea")</t>
  </si>
  <si>
    <t>=NL("Last","Item Unit of Measure","Length","Item No.",$B9,"code","ea")</t>
  </si>
  <si>
    <t>=NL("Last","Item Unit of Measure","Weight","Item No.",$B9,"code","ea")</t>
  </si>
  <si>
    <t>=NL("Last","Item","Country/Region of Origin Code","No.",$B9)</t>
  </si>
  <si>
    <t>=NL("Last","Item","Tariff No.","No.",$B9)</t>
  </si>
  <si>
    <t>=NL("Last","Item","Description","No.",$B10)</t>
  </si>
  <si>
    <t>=NL("Last","Sales Price","Unit Price","Item No.",$B10,"Ending Date","''","Sales Code","EUR PRICE")</t>
  </si>
  <si>
    <t>=NL("Last","Item","Multiple Order Quantity","No.",$B10)</t>
  </si>
  <si>
    <t>=NL("Last","Item Cross Reference","Cross-Reference No.","Cross-Reference Type No.","EAN 13","Item No.",$B10,"unit of measure","ea")</t>
  </si>
  <si>
    <t>=NL("Last","Item Unit of Measure","Height","Item No.",$B10,"code","ea")</t>
  </si>
  <si>
    <t>=NL("Last","Item Unit of Measure","Width","Item No.",$B10,"code","ea")</t>
  </si>
  <si>
    <t>=NL("Last","Item Unit of Measure","Length","Item No.",$B10,"code","ea")</t>
  </si>
  <si>
    <t>=NL("Last","Item Unit of Measure","Weight","Item No.",$B10,"code","ea")</t>
  </si>
  <si>
    <t>=NL("Last","Item","Country/Region of Origin Code","No.",$B10)</t>
  </si>
  <si>
    <t>=NL("Last","Item","Tariff No.","No.",$B10)</t>
  </si>
  <si>
    <t>=NL("Last","Item","Description","No.",$B11)</t>
  </si>
  <si>
    <t>=NL("Last","Sales Price","Unit Price","Item No.",$B11,"Ending Date","''","Sales Code","EUR PRICE")</t>
  </si>
  <si>
    <t>=NL("Last","Item","Multiple Order Quantity","No.",$B11)</t>
  </si>
  <si>
    <t>=NL("Last","Item Cross Reference","Cross-Reference No.","Cross-Reference Type No.","EAN 13","Item No.",$B11,"unit of measure","ea")</t>
  </si>
  <si>
    <t>=NL("Last","Item Unit of Measure","Height","Item No.",$B11,"code","ea")</t>
  </si>
  <si>
    <t>=NL("Last","Item Unit of Measure","Width","Item No.",$B11,"code","ea")</t>
  </si>
  <si>
    <t>=NL("Last","Item Unit of Measure","Length","Item No.",$B11,"code","ea")</t>
  </si>
  <si>
    <t>=NL("Last","Item Unit of Measure","Weight","Item No.",$B11,"code","ea")</t>
  </si>
  <si>
    <t>=NL("Last","Item","Country/Region of Origin Code","No.",$B11)</t>
  </si>
  <si>
    <t>=NL("Last","Item","Tariff No.","No.",$B11)</t>
  </si>
  <si>
    <t>=NL("Last","Item","Description","No.",$B12)</t>
  </si>
  <si>
    <t>=NL("Last","Sales Price","Unit Price","Item No.",$B12,"Ending Date","''","Sales Code","EUR PRICE")</t>
  </si>
  <si>
    <t>=NL("Last","Item","Multiple Order Quantity","No.",$B12)</t>
  </si>
  <si>
    <t>=NL("Last","Item Cross Reference","Cross-Reference No.","Cross-Reference Type No.","EAN 13","Item No.",$B12,"unit of measure","ea")</t>
  </si>
  <si>
    <t>=NL("Last","Item Unit of Measure","Height","Item No.",$B12,"code","ea")</t>
  </si>
  <si>
    <t>=NL("Last","Item Unit of Measure","Width","Item No.",$B12,"code","ea")</t>
  </si>
  <si>
    <t>=NL("Last","Item Unit of Measure","Length","Item No.",$B12,"code","ea")</t>
  </si>
  <si>
    <t>=NL("Last","Item Unit of Measure","Weight","Item No.",$B12,"code","ea")</t>
  </si>
  <si>
    <t>=NL("Last","Item","Country/Region of Origin Code","No.",$B12)</t>
  </si>
  <si>
    <t>=NL("Last","Item","Tariff No.","No.",$B12)</t>
  </si>
  <si>
    <t>=NL("Last","Item","Description","No.",$B13)</t>
  </si>
  <si>
    <t>=NL("Last","Sales Price","Unit Price","Item No.",$B13,"Ending Date","''","Sales Code","EUR PRICE")</t>
  </si>
  <si>
    <t>=NL("Last","Item","Multiple Order Quantity","No.",$B13)</t>
  </si>
  <si>
    <t>=NL("Last","Item Cross Reference","Cross-Reference No.","Cross-Reference Type No.","EAN 13","Item No.",$B13,"unit of measure","ea")</t>
  </si>
  <si>
    <t>=NL("Last","Item Unit of Measure","Height","Item No.",$B13,"code","ea")</t>
  </si>
  <si>
    <t>=NL("Last","Item Unit of Measure","Width","Item No.",$B13,"code","ea")</t>
  </si>
  <si>
    <t>=NL("Last","Item Unit of Measure","Length","Item No.",$B13,"code","ea")</t>
  </si>
  <si>
    <t>=NL("Last","Item Unit of Measure","Weight","Item No.",$B13,"code","ea")</t>
  </si>
  <si>
    <t>=NL("Last","Item","Country/Region of Origin Code","No.",$B13)</t>
  </si>
  <si>
    <t>=NL("Last","Item","Tariff No.","No.",$B13)</t>
  </si>
  <si>
    <t>=NL("Last","Item","Description","No.",$B14)</t>
  </si>
  <si>
    <t>=NL("Last","Sales Price","Unit Price","Item No.",$B14,"Ending Date","''","Sales Code","EUR PRICE")</t>
  </si>
  <si>
    <t>=NL("Last","Item","Multiple Order Quantity","No.",$B14)</t>
  </si>
  <si>
    <t>=NL("Last","Item Cross Reference","Cross-Reference No.","Cross-Reference Type No.","EAN 13","Item No.",$B14,"unit of measure","ea")</t>
  </si>
  <si>
    <t>=NL("Last","Item Unit of Measure","Height","Item No.",$B14,"code","ea")</t>
  </si>
  <si>
    <t>=NL("Last","Item Unit of Measure","Width","Item No.",$B14,"code","ea")</t>
  </si>
  <si>
    <t>=NL("Last","Item Unit of Measure","Length","Item No.",$B14,"code","ea")</t>
  </si>
  <si>
    <t>=NL("Last","Item Unit of Measure","Weight","Item No.",$B14,"code","ea")</t>
  </si>
  <si>
    <t>=NL("Last","Item","Country/Region of Origin Code","No.",$B14)</t>
  </si>
  <si>
    <t>=NL("Last","Item","Tariff No.","No.",$B14)</t>
  </si>
  <si>
    <t>=NL("Last","Item","Description","No.",$B15)</t>
  </si>
  <si>
    <t>=NL("Last","Sales Price","Unit Price","Item No.",$B15,"Ending Date","''","Sales Code","EUR PRICE")</t>
  </si>
  <si>
    <t>=NL("Last","Item","Multiple Order Quantity","No.",$B15)</t>
  </si>
  <si>
    <t>=NL("Last","Item Cross Reference","Cross-Reference No.","Cross-Reference Type No.","EAN 13","Item No.",$B15,"unit of measure","ea")</t>
  </si>
  <si>
    <t>=NL("Last","Item Unit of Measure","Height","Item No.",$B15,"code","ea")</t>
  </si>
  <si>
    <t>=NL("Last","Item Unit of Measure","Width","Item No.",$B15,"code","ea")</t>
  </si>
  <si>
    <t>=NL("Last","Item Unit of Measure","Length","Item No.",$B15,"code","ea")</t>
  </si>
  <si>
    <t>=NL("Last","Item Unit of Measure","Weight","Item No.",$B15,"code","ea")</t>
  </si>
  <si>
    <t>=NL("Last","Item","Country/Region of Origin Code","No.",$B15)</t>
  </si>
  <si>
    <t>=NL("Last","Item","Tariff No.","No.",$B15)</t>
  </si>
  <si>
    <t>=NL("Last","Item","Description","No.",$B16)</t>
  </si>
  <si>
    <t>=NL("Last","Sales Price","Unit Price","Item No.",$B16,"Ending Date","''","Sales Code","EUR PRICE")</t>
  </si>
  <si>
    <t>=NL("Last","Item","Multiple Order Quantity","No.",$B16)</t>
  </si>
  <si>
    <t>=NL("Last","Item Cross Reference","Cross-Reference No.","Cross-Reference Type No.","EAN 13","Item No.",$B16,"unit of measure","ea")</t>
  </si>
  <si>
    <t>=NL("Last","Item Unit of Measure","Height","Item No.",$B16,"code","ea")</t>
  </si>
  <si>
    <t>=NL("Last","Item Unit of Measure","Width","Item No.",$B16,"code","ea")</t>
  </si>
  <si>
    <t>=NL("Last","Item Unit of Measure","Length","Item No.",$B16,"code","ea")</t>
  </si>
  <si>
    <t>=NL("Last","Item Unit of Measure","Weight","Item No.",$B16,"code","ea")</t>
  </si>
  <si>
    <t>=NL("Last","Item","Country/Region of Origin Code","No.",$B16)</t>
  </si>
  <si>
    <t>=NL("Last","Item","Tariff No.","No.",$B16)</t>
  </si>
  <si>
    <t>=NL("Last","Item","Description","No.",$B17)</t>
  </si>
  <si>
    <t>=NL("Last","Sales Price","Unit Price","Item No.",$B17,"Ending Date","''","Sales Code","EUR PRICE")</t>
  </si>
  <si>
    <t>=NL("Last","Item","Multiple Order Quantity","No.",$B17)</t>
  </si>
  <si>
    <t>=NL("Last","Item Cross Reference","Cross-Reference No.","Cross-Reference Type No.","EAN 13","Item No.",$B17,"unit of measure","ea")</t>
  </si>
  <si>
    <t>=NL("Last","Item Unit of Measure","Height","Item No.",$B17,"code","ea")</t>
  </si>
  <si>
    <t>=NL("Last","Item Unit of Measure","Width","Item No.",$B17,"code","ea")</t>
  </si>
  <si>
    <t>=NL("Last","Item Unit of Measure","Length","Item No.",$B17,"code","ea")</t>
  </si>
  <si>
    <t>=NL("Last","Item Unit of Measure","Weight","Item No.",$B17,"code","ea")</t>
  </si>
  <si>
    <t>=NL("Last","Item","Country/Region of Origin Code","No.",$B17)</t>
  </si>
  <si>
    <t>=NL("Last","Item","Tariff No.","No.",$B17)</t>
  </si>
  <si>
    <t>=NL("Last","Item","Description","No.",$B18)</t>
  </si>
  <si>
    <t>=NL("Last","Sales Price","Unit Price","Item No.",$B18,"Ending Date","''","Sales Code","EUR PRICE")</t>
  </si>
  <si>
    <t>=NL("Last","Item","Multiple Order Quantity","No.",$B18)</t>
  </si>
  <si>
    <t>=NL("Last","Item Cross Reference","Cross-Reference No.","Cross-Reference Type No.","EAN 13","Item No.",$B18,"unit of measure","ea")</t>
  </si>
  <si>
    <t>=NL("Last","Item Unit of Measure","Height","Item No.",$B18,"code","ea")</t>
  </si>
  <si>
    <t>=NL("Last","Item Unit of Measure","Width","Item No.",$B18,"code","ea")</t>
  </si>
  <si>
    <t>=NL("Last","Item Unit of Measure","Length","Item No.",$B18,"code","ea")</t>
  </si>
  <si>
    <t>=NL("Last","Item Unit of Measure","Weight","Item No.",$B18,"code","ea")</t>
  </si>
  <si>
    <t>=NL("Last","Item","Country/Region of Origin Code","No.",$B18)</t>
  </si>
  <si>
    <t>=NL("Last","Item","Tariff No.","No.",$B18)</t>
  </si>
  <si>
    <t>=NL("Last","Item","Description","No.",$B19)</t>
  </si>
  <si>
    <t>=NL("Last","Sales Price","Unit Price","Item No.",$B19,"Ending Date","''","Sales Code","EUR PRICE")</t>
  </si>
  <si>
    <t>=NL("Last","Item","Multiple Order Quantity","No.",$B19)</t>
  </si>
  <si>
    <t>=NL("Last","Item Cross Reference","Cross-Reference No.","Cross-Reference Type No.","EAN 13","Item No.",$B19,"unit of measure","ea")</t>
  </si>
  <si>
    <t>=NL("Last","Item Unit of Measure","Height","Item No.",$B19,"code","ea")</t>
  </si>
  <si>
    <t>=NL("Last","Item Unit of Measure","Width","Item No.",$B19,"code","ea")</t>
  </si>
  <si>
    <t>=NL("Last","Item Unit of Measure","Length","Item No.",$B19,"code","ea")</t>
  </si>
  <si>
    <t>=NL("Last","Item Unit of Measure","Weight","Item No.",$B19,"code","ea")</t>
  </si>
  <si>
    <t>=NL("Last","Item","Country/Region of Origin Code","No.",$B19)</t>
  </si>
  <si>
    <t>=NL("Last","Item","Tariff No.","No.",$B19)</t>
  </si>
  <si>
    <t>=NL("Last","Item","Description","No.",$B20)</t>
  </si>
  <si>
    <t>=NL("Last","Sales Price","Unit Price","Item No.",$B20,"Ending Date","''","Sales Code","EUR PRICE")</t>
  </si>
  <si>
    <t>=NL("Last","Item","Multiple Order Quantity","No.",$B20)</t>
  </si>
  <si>
    <t>=NL("Last","Item Cross Reference","Cross-Reference No.","Cross-Reference Type No.","EAN 13","Item No.",$B20,"unit of measure","ea")</t>
  </si>
  <si>
    <t>=NL("Last","Item Unit of Measure","Height","Item No.",$B20,"code","ea")</t>
  </si>
  <si>
    <t>=NL("Last","Item Unit of Measure","Width","Item No.",$B20,"code","ea")</t>
  </si>
  <si>
    <t>=NL("Last","Item Unit of Measure","Length","Item No.",$B20,"code","ea")</t>
  </si>
  <si>
    <t>=NL("Last","Item Unit of Measure","Weight","Item No.",$B20,"code","ea")</t>
  </si>
  <si>
    <t>=NL("Last","Item","Country/Region of Origin Code","No.",$B20)</t>
  </si>
  <si>
    <t>=NL("Last","Item","Tariff No.","No.",$B20)</t>
  </si>
  <si>
    <t>=NL("Last","Item","Description","No.",$B21)</t>
  </si>
  <si>
    <t>=NL("Last","Sales Price","Unit Price","Item No.",$B21,"Ending Date","''","Sales Code","EUR PRICE")</t>
  </si>
  <si>
    <t>=NL("Last","Item","Multiple Order Quantity","No.",$B21)</t>
  </si>
  <si>
    <t>=NL("Last","Item Cross Reference","Cross-Reference No.","Cross-Reference Type No.","EAN 13","Item No.",$B21,"unit of measure","ea")</t>
  </si>
  <si>
    <t>=NL("Last","Item Unit of Measure","Height","Item No.",$B21,"code","ea")</t>
  </si>
  <si>
    <t>=NL("Last","Item Unit of Measure","Width","Item No.",$B21,"code","ea")</t>
  </si>
  <si>
    <t>=NL("Last","Item Unit of Measure","Length","Item No.",$B21,"code","ea")</t>
  </si>
  <si>
    <t>=NL("Last","Item Unit of Measure","Weight","Item No.",$B21,"code","ea")</t>
  </si>
  <si>
    <t>=NL("Last","Item","Country/Region of Origin Code","No.",$B21)</t>
  </si>
  <si>
    <t>=NL("Last","Item","Tariff No.","No.",$B21)</t>
  </si>
  <si>
    <t>=NL("Last","Item","Description","No.",$B22)</t>
  </si>
  <si>
    <t>=NL("Last","Sales Price","Unit Price","Item No.",$B22,"Ending Date","''","Sales Code","EUR PRICE")</t>
  </si>
  <si>
    <t>=NL("Last","Item","Multiple Order Quantity","No.",$B22)</t>
  </si>
  <si>
    <t>=NL("Last","Item Cross Reference","Cross-Reference No.","Cross-Reference Type No.","EAN 13","Item No.",$B22,"unit of measure","ea")</t>
  </si>
  <si>
    <t>=NL("Last","Item Unit of Measure","Height","Item No.",$B22,"code","ea")</t>
  </si>
  <si>
    <t>=NL("Last","Item Unit of Measure","Width","Item No.",$B22,"code","ea")</t>
  </si>
  <si>
    <t>=NL("Last","Item Unit of Measure","Length","Item No.",$B22,"code","ea")</t>
  </si>
  <si>
    <t>=NL("Last","Item Unit of Measure","Weight","Item No.",$B22,"code","ea")</t>
  </si>
  <si>
    <t>=NL("Last","Item","Country/Region of Origin Code","No.",$B22)</t>
  </si>
  <si>
    <t>=NL("Last","Item","Tariff No.","No.",$B22)</t>
  </si>
  <si>
    <t>=NL("Last","Item","Description","No.",$B23)</t>
  </si>
  <si>
    <t>=NL("Last","Sales Price","Unit Price","Item No.",$B23,"Ending Date","''","Sales Code","EUR PRICE")</t>
  </si>
  <si>
    <t>=NL("Last","Item Cross Reference","Cross-Reference No.","Cross-Reference Type No.","EAN 13","Item No.",$B23,"unit of measure","ea")</t>
  </si>
  <si>
    <t>=NL("Last","Item Unit of Measure","Height","Item No.",$B23,"code","ea")</t>
  </si>
  <si>
    <t>=NL("Last","Item Unit of Measure","Width","Item No.",$B23,"code","ea")</t>
  </si>
  <si>
    <t>=NL("Last","Item Unit of Measure","Length","Item No.",$B23,"code","ea")</t>
  </si>
  <si>
    <t>=NL("Last","Item Unit of Measure","Weight","Item No.",$B23,"code","ea")</t>
  </si>
  <si>
    <t>=NL("Last","Item","Country/Region of Origin Code","No.",$B23)</t>
  </si>
  <si>
    <t>=NL("Last","Item","Tariff No.","No.",$B23)</t>
  </si>
  <si>
    <t>=NL("Last","Item","Description","No.",$B24)</t>
  </si>
  <si>
    <t>=NL("Last","Sales Price","Unit Price","Item No.",$B24,"Ending Date","''","Sales Code","EUR PRICE")</t>
  </si>
  <si>
    <t>=NL("Last","Item Cross Reference","Cross-Reference No.","Cross-Reference Type No.","EAN 13","Item No.",$B24,"unit of measure","ea")</t>
  </si>
  <si>
    <t>=NL("Last","Item Unit of Measure","Height","Item No.",$B24,"code","ea")</t>
  </si>
  <si>
    <t>=NL("Last","Item Unit of Measure","Width","Item No.",$B24,"code","ea")</t>
  </si>
  <si>
    <t>=NL("Last","Item Unit of Measure","Length","Item No.",$B24,"code","ea")</t>
  </si>
  <si>
    <t>=NL("Last","Item Unit of Measure","Weight","Item No.",$B24,"code","ea")</t>
  </si>
  <si>
    <t>=NL("Last","Item","Country/Region of Origin Code","No.",$B24)</t>
  </si>
  <si>
    <t>=NL("Last","Item","Tariff No.","No.",$B24)</t>
  </si>
  <si>
    <t>=NL("Last","Item","Description","No.",$B25)</t>
  </si>
  <si>
    <t>=NL("Last","Sales Price","Unit Price","Item No.",$B25,"Ending Date","''","Sales Code","EUR PRICE")</t>
  </si>
  <si>
    <t>=NL("Last","Item","Multiple Order Quantity","No.",$B25)</t>
  </si>
  <si>
    <t>=NL("Last","Item Cross Reference","Cross-Reference No.","Cross-Reference Type No.","EAN 13","Item No.",$B25,"unit of measure","ea")</t>
  </si>
  <si>
    <t>=NL("Last","Item Unit of Measure","Height","Item No.",$B25,"code","ea")</t>
  </si>
  <si>
    <t>=NL("Last","Item Unit of Measure","Width","Item No.",$B25,"code","ea")</t>
  </si>
  <si>
    <t>=NL("Last","Item Unit of Measure","Length","Item No.",$B25,"code","ea")</t>
  </si>
  <si>
    <t>=NL("Last","Item Unit of Measure","Weight","Item No.",$B25,"code","ea")</t>
  </si>
  <si>
    <t>=NL("Last","Item","Country/Region of Origin Code","No.",$B25)</t>
  </si>
  <si>
    <t>=NL("Last","Item","Tariff No.","No.",$B25)</t>
  </si>
  <si>
    <t>=NL("Last","Item","Description","No.",$B26)</t>
  </si>
  <si>
    <t>=NL("Last","Sales Price","Unit Price","Item No.",$B26,"Ending Date","''","Sales Code","EUR PRICE")</t>
  </si>
  <si>
    <t>=NL("Last","Item","Multiple Order Quantity","No.",$B26)</t>
  </si>
  <si>
    <t>=NL("Last","Item Cross Reference","Cross-Reference No.","Cross-Reference Type No.","EAN 13","Item No.",$B26,"unit of measure","ea")</t>
  </si>
  <si>
    <t>=NL("Last","Item Unit of Measure","Height","Item No.",$B26,"code","ea")</t>
  </si>
  <si>
    <t>=NL("Last","Item Unit of Measure","Width","Item No.",$B26,"code","ea")</t>
  </si>
  <si>
    <t>=NL("Last","Item Unit of Measure","Length","Item No.",$B26,"code","ea")</t>
  </si>
  <si>
    <t>=NL("Last","Item Unit of Measure","Weight","Item No.",$B26,"code","ea")</t>
  </si>
  <si>
    <t>=NL("Last","Item","Country/Region of Origin Code","No.",$B26)</t>
  </si>
  <si>
    <t>=NL("Last","Item","Tariff No.","No.",$B26)</t>
  </si>
  <si>
    <t>=NL("Last","Item","Description","No.",$B27)</t>
  </si>
  <si>
    <t>=NL("Last","Sales Price","Unit Price","Item No.",$B27,"Ending Date","''","Sales Code","EUR PRICE")</t>
  </si>
  <si>
    <t>=NL("Last","Item","Multiple Order Quantity","No.",$B27)</t>
  </si>
  <si>
    <t>=NL("Last","Item Cross Reference","Cross-Reference No.","Cross-Reference Type No.","EAN 13","Item No.",$B27,"unit of measure","ea")</t>
  </si>
  <si>
    <t>=NL("Last","Item Unit of Measure","Height","Item No.",$B27,"code","ea")</t>
  </si>
  <si>
    <t>=NL("Last","Item Unit of Measure","Width","Item No.",$B27,"code","ea")</t>
  </si>
  <si>
    <t>=NL("Last","Item Unit of Measure","Length","Item No.",$B27,"code","ea")</t>
  </si>
  <si>
    <t>=NL("Last","Item Unit of Measure","Weight","Item No.",$B27,"code","ea")</t>
  </si>
  <si>
    <t>=NL("Last","Item","Country/Region of Origin Code","No.",$B27)</t>
  </si>
  <si>
    <t>=NL("Last","Item","Tariff No.","No.",$B27)</t>
  </si>
  <si>
    <t>=NL("Last","Item","Description","No.",$B28)</t>
  </si>
  <si>
    <t>=NL("Last","Sales Price","Unit Price","Item No.",$B28,"Ending Date","''","Sales Code","EUR PRICE")</t>
  </si>
  <si>
    <t>=NL("Last","Item","Multiple Order Quantity","No.",$B28)</t>
  </si>
  <si>
    <t>=NL("Last","Item Cross Reference","Cross-Reference No.","Cross-Reference Type No.","EAN 13","Item No.",$B28,"unit of measure","ea")</t>
  </si>
  <si>
    <t>=NL("Last","Item Unit of Measure","Height","Item No.",$B28,"code","ea")</t>
  </si>
  <si>
    <t>=NL("Last","Item Unit of Measure","Width","Item No.",$B28,"code","ea")</t>
  </si>
  <si>
    <t>=NL("Last","Item Unit of Measure","Length","Item No.",$B28,"code","ea")</t>
  </si>
  <si>
    <t>=NL("Last","Item Unit of Measure","Weight","Item No.",$B28,"code","ea")</t>
  </si>
  <si>
    <t>=NL("Last","Item","Country/Region of Origin Code","No.",$B28)</t>
  </si>
  <si>
    <t>=NL("Last","Item","Tariff No.","No.",$B28)</t>
  </si>
  <si>
    <t>=NL("Last","Item","Description","No.",$B29)</t>
  </si>
  <si>
    <t>=NL("Last","Sales Price","Unit Price","Item No.",$B29,"Ending Date","''","Sales Code","EUR PRICE")</t>
  </si>
  <si>
    <t>=NL("Last","Item","Multiple Order Quantity","No.",$B29)</t>
  </si>
  <si>
    <t>=NL("Last","Item Cross Reference","Cross-Reference No.","Cross-Reference Type No.","EAN 13","Item No.",$B29,"unit of measure","ea")</t>
  </si>
  <si>
    <t>=NL("Last","Item Unit of Measure","Height","Item No.",$B29,"code","ea")</t>
  </si>
  <si>
    <t>=NL("Last","Item Unit of Measure","Width","Item No.",$B29,"code","ea")</t>
  </si>
  <si>
    <t>=NL("Last","Item Unit of Measure","Length","Item No.",$B29,"code","ea")</t>
  </si>
  <si>
    <t>=NL("Last","Item Unit of Measure","Weight","Item No.",$B29,"code","ea")</t>
  </si>
  <si>
    <t>=NL("Last","Item","Country/Region of Origin Code","No.",$B29)</t>
  </si>
  <si>
    <t>=NL("Last","Item","Tariff No.","No.",$B29)</t>
  </si>
  <si>
    <t>=NL("Last","Item","Description","No.",$B30)</t>
  </si>
  <si>
    <t>=NL("Last","Sales Price","Unit Price","Item No.",$B30,"Ending Date","''","Sales Code","EUR PRICE")</t>
  </si>
  <si>
    <t>=NL("Last","Item","Multiple Order Quantity","No.",$B30)</t>
  </si>
  <si>
    <t>=NL("Last","Item Cross Reference","Cross-Reference No.","Cross-Reference Type No.","EAN 13","Item No.",$B30,"unit of measure","ea")</t>
  </si>
  <si>
    <t>=NL("Last","Item Unit of Measure","Height","Item No.",$B30,"code","ea")</t>
  </si>
  <si>
    <t>=NL("Last","Item Unit of Measure","Width","Item No.",$B30,"code","ea")</t>
  </si>
  <si>
    <t>=NL("Last","Item Unit of Measure","Length","Item No.",$B30,"code","ea")</t>
  </si>
  <si>
    <t>=NL("Last","Item Unit of Measure","Weight","Item No.",$B30,"code","ea")</t>
  </si>
  <si>
    <t>=NL("Last","Item","Country/Region of Origin Code","No.",$B30)</t>
  </si>
  <si>
    <t>=NL("Last","Item","Tariff No.","No.",$B30)</t>
  </si>
  <si>
    <t>=NL("Last","Item","Description","No.",$B31)</t>
  </si>
  <si>
    <t>=NL("Last","Sales Price","Unit Price","Item No.",$B31,"Ending Date","''","Sales Code","EUR PRICE")</t>
  </si>
  <si>
    <t>=NL("Last","Item","Multiple Order Quantity","No.",$B31)</t>
  </si>
  <si>
    <t>=NL("Last","Item Cross Reference","Cross-Reference No.","Cross-Reference Type No.","EAN 13","Item No.",$B31,"unit of measure","ea")</t>
  </si>
  <si>
    <t>=NL("Last","Item Unit of Measure","Height","Item No.",$B31,"code","ea")</t>
  </si>
  <si>
    <t>=NL("Last","Item Unit of Measure","Width","Item No.",$B31,"code","ea")</t>
  </si>
  <si>
    <t>=NL("Last","Item Unit of Measure","Length","Item No.",$B31,"code","ea")</t>
  </si>
  <si>
    <t>=NL("Last","Item Unit of Measure","Weight","Item No.",$B31,"code","ea")</t>
  </si>
  <si>
    <t>=NL("Last","Item","Country/Region of Origin Code","No.",$B31)</t>
  </si>
  <si>
    <t>=NL("Last","Item","Tariff No.","No.",$B31)</t>
  </si>
  <si>
    <t>=NL("Last","Item","Description","No.",$B32)</t>
  </si>
  <si>
    <t>=NL("Last","Sales Price","Unit Price","Item No.",$B32,"Ending Date","''","Sales Code","EUR PRICE")</t>
  </si>
  <si>
    <t>=NL("Last","Item","Multiple Order Quantity","No.",$B32)</t>
  </si>
  <si>
    <t>=NL("Last","Item Cross Reference","Cross-Reference No.","Cross-Reference Type No.","EAN 13","Item No.",$B32,"unit of measure","ea")</t>
  </si>
  <si>
    <t>=NL("Last","Item Unit of Measure","Height","Item No.",$B32,"code","ea")</t>
  </si>
  <si>
    <t>=NL("Last","Item Unit of Measure","Width","Item No.",$B32,"code","ea")</t>
  </si>
  <si>
    <t>=NL("Last","Item Unit of Measure","Length","Item No.",$B32,"code","ea")</t>
  </si>
  <si>
    <t>=NL("Last","Item Unit of Measure","Weight","Item No.",$B32,"code","ea")</t>
  </si>
  <si>
    <t>=NL("Last","Item","Country/Region of Origin Code","No.",$B32)</t>
  </si>
  <si>
    <t>=NL("Last","Item","Tariff No.","No.",$B32)</t>
  </si>
  <si>
    <t>=NL("Last","Item","Description","No.",$B33)</t>
  </si>
  <si>
    <t>=NL("Last","Sales Price","Unit Price","Item No.",$B33,"Ending Date","''","Sales Code","EUR PRICE")</t>
  </si>
  <si>
    <t>=NL("Last","Item","Multiple Order Quantity","No.",$B33)</t>
  </si>
  <si>
    <t>=NL("Last","Item Cross Reference","Cross-Reference No.","Cross-Reference Type No.","EAN 13","Item No.",$B33,"unit of measure","ea")</t>
  </si>
  <si>
    <t>=NL("Last","Item Unit of Measure","Height","Item No.",$B33,"code","ea")</t>
  </si>
  <si>
    <t>=NL("Last","Item Unit of Measure","Width","Item No.",$B33,"code","ea")</t>
  </si>
  <si>
    <t>=NL("Last","Item Unit of Measure","Length","Item No.",$B33,"code","ea")</t>
  </si>
  <si>
    <t>=NL("Last","Item Unit of Measure","Weight","Item No.",$B33,"code","ea")</t>
  </si>
  <si>
    <t>=NL("Last","Item","Country/Region of Origin Code","No.",$B33)</t>
  </si>
  <si>
    <t>=NL("Last","Item","Tariff No.","No.",$B33)</t>
  </si>
  <si>
    <t>=NL("Last","Item","Description","No.",$B34)</t>
  </si>
  <si>
    <t>=NL("Last","Sales Price","Unit Price","Item No.",$B34,"Ending Date","''","Sales Code","EUR PRICE")</t>
  </si>
  <si>
    <t>=NL("Last","Item","Multiple Order Quantity","No.",$B34)</t>
  </si>
  <si>
    <t>=NL("Last","Item Cross Reference","Cross-Reference No.","Cross-Reference Type No.","EAN 13","Item No.",$B34,"unit of measure","ea")</t>
  </si>
  <si>
    <t>=NL("Last","Item Unit of Measure","Height","Item No.",$B34,"code","ea")</t>
  </si>
  <si>
    <t>=NL("Last","Item Unit of Measure","Width","Item No.",$B34,"code","ea")</t>
  </si>
  <si>
    <t>=NL("Last","Item Unit of Measure","Length","Item No.",$B34,"code","ea")</t>
  </si>
  <si>
    <t>=NL("Last","Item Unit of Measure","Weight","Item No.",$B34,"code","ea")</t>
  </si>
  <si>
    <t>=NL("Last","Item","Country/Region of Origin Code","No.",$B34)</t>
  </si>
  <si>
    <t>=NL("Last","Item","Tariff No.","No.",$B34)</t>
  </si>
  <si>
    <t>=NL("Last","Item","Description","No.",$B35)</t>
  </si>
  <si>
    <t>=NL("Last","Sales Price","Unit Price","Item No.",$B35,"Ending Date","''","Sales Code","EUR PRICE")</t>
  </si>
  <si>
    <t>=NL("Last","Item","Multiple Order Quantity","No.",$B35)</t>
  </si>
  <si>
    <t>=NL("Last","Item Cross Reference","Cross-Reference No.","Cross-Reference Type No.","EAN 13","Item No.",$B35,"unit of measure","ea")</t>
  </si>
  <si>
    <t>=NL("Last","Item Unit of Measure","Height","Item No.",$B35,"code","ea")</t>
  </si>
  <si>
    <t>=NL("Last","Item Unit of Measure","Width","Item No.",$B35,"code","ea")</t>
  </si>
  <si>
    <t>=NL("Last","Item Unit of Measure","Length","Item No.",$B35,"code","ea")</t>
  </si>
  <si>
    <t>=NL("Last","Item Unit of Measure","Weight","Item No.",$B35,"code","ea")</t>
  </si>
  <si>
    <t>=NL("Last","Item","Country/Region of Origin Code","No.",$B35)</t>
  </si>
  <si>
    <t>=NL("Last","Item","Tariff No.","No.",$B35)</t>
  </si>
  <si>
    <t>=NL("Last","Item","Description","No.",$B36)</t>
  </si>
  <si>
    <t>=NL("Last","Sales Price","Unit Price","Item No.",$B36,"Ending Date","''","Sales Code","EUR PRICE")</t>
  </si>
  <si>
    <t>=NL("Last","Item","Multiple Order Quantity","No.",$B36)</t>
  </si>
  <si>
    <t>=NL("Last","Item Cross Reference","Cross-Reference No.","Cross-Reference Type No.","EAN 13","Item No.",$B36,"unit of measure","ea")</t>
  </si>
  <si>
    <t>=NL("Last","Item Unit of Measure","Height","Item No.",$B36,"code","ea")</t>
  </si>
  <si>
    <t>=NL("Last","Item Unit of Measure","Width","Item No.",$B36,"code","ea")</t>
  </si>
  <si>
    <t>=NL("Last","Item Unit of Measure","Length","Item No.",$B36,"code","ea")</t>
  </si>
  <si>
    <t>=NL("Last","Item Unit of Measure","Weight","Item No.",$B36,"code","ea")</t>
  </si>
  <si>
    <t>=NL("Last","Item","Country/Region of Origin Code","No.",$B36)</t>
  </si>
  <si>
    <t>=NL("Last","Item","Tariff No.","No.",$B36)</t>
  </si>
  <si>
    <t>=NL("Last","Item","Description","No.",$B37)</t>
  </si>
  <si>
    <t>=NL("Last","Sales Price","Unit Price","Item No.",$B37,"Ending Date","''","Sales Code","EUR PRICE")</t>
  </si>
  <si>
    <t>=NL("Last","Item","Multiple Order Quantity","No.",$B37)</t>
  </si>
  <si>
    <t>=NL("Last","Item Cross Reference","Cross-Reference No.","Cross-Reference Type No.","EAN 13","Item No.",$B37,"unit of measure","ea")</t>
  </si>
  <si>
    <t>=NL("Last","Item Unit of Measure","Height","Item No.",$B37,"code","ea")</t>
  </si>
  <si>
    <t>=NL("Last","Item Unit of Measure","Width","Item No.",$B37,"code","ea")</t>
  </si>
  <si>
    <t>=NL("Last","Item Unit of Measure","Length","Item No.",$B37,"code","ea")</t>
  </si>
  <si>
    <t>=NL("Last","Item Unit of Measure","Weight","Item No.",$B37,"code","ea")</t>
  </si>
  <si>
    <t>=NL("Last","Item","Country/Region of Origin Code","No.",$B37)</t>
  </si>
  <si>
    <t>=NL("Last","Item","Tariff No.","No.",$B37)</t>
  </si>
  <si>
    <t>=NL("Last","Item","Description","No.",$B38)</t>
  </si>
  <si>
    <t>=NL("Last","Sales Price","Unit Price","Item No.",$B38,"Ending Date","''","Sales Code","EUR PRICE")</t>
  </si>
  <si>
    <t>=NL("Last","Item","Multiple Order Quantity","No.",$B38)</t>
  </si>
  <si>
    <t>=NL("Last","Item Cross Reference","Cross-Reference No.","Cross-Reference Type No.","EAN 13","Item No.",$B38,"unit of measure","ea")</t>
  </si>
  <si>
    <t>=NL("Last","Item Unit of Measure","Height","Item No.",$B38,"code","ea")</t>
  </si>
  <si>
    <t>=NL("Last","Item Unit of Measure","Width","Item No.",$B38,"code","ea")</t>
  </si>
  <si>
    <t>=NL("Last","Item Unit of Measure","Length","Item No.",$B38,"code","ea")</t>
  </si>
  <si>
    <t>=NL("Last","Item Unit of Measure","Weight","Item No.",$B38,"code","ea")</t>
  </si>
  <si>
    <t>=NL("Last","Item","Country/Region of Origin Code","No.",$B38)</t>
  </si>
  <si>
    <t>=NL("Last","Item","Tariff No.","No.",$B38)</t>
  </si>
  <si>
    <t>=NL("Last","Item","Description","No.",$B39)</t>
  </si>
  <si>
    <t>=NL("Last","Sales Price","Unit Price","Item No.",$B39,"Ending Date","''","Sales Code","EUR PRICE")</t>
  </si>
  <si>
    <t>=NL("Last","Item","Multiple Order Quantity","No.",$B39)</t>
  </si>
  <si>
    <t>=NL("Last","Item Cross Reference","Cross-Reference No.","Cross-Reference Type No.","EAN 13","Item No.",$B39,"unit of measure","ea")</t>
  </si>
  <si>
    <t>=NL("Last","Item Unit of Measure","Height","Item No.",$B39,"code","ea")</t>
  </si>
  <si>
    <t>=NL("Last","Item Unit of Measure","Width","Item No.",$B39,"code","ea")</t>
  </si>
  <si>
    <t>=NL("Last","Item Unit of Measure","Length","Item No.",$B39,"code","ea")</t>
  </si>
  <si>
    <t>=NL("Last","Item Unit of Measure","Weight","Item No.",$B39,"code","ea")</t>
  </si>
  <si>
    <t>=NL("Last","Item","Country/Region of Origin Code","No.",$B39)</t>
  </si>
  <si>
    <t>=NL("Last","Item","Tariff No.","No.",$B39)</t>
  </si>
  <si>
    <t>=NL("Last","Item","Description","No.",$B40)</t>
  </si>
  <si>
    <t>=NL("Last","Sales Price","Unit Price","Item No.",$B40,"Ending Date","''","Sales Code","EUR PRICE")</t>
  </si>
  <si>
    <t>=NL("Last","Item","Multiple Order Quantity","No.",$B40)</t>
  </si>
  <si>
    <t>=NL("Last","Item Cross Reference","Cross-Reference No.","Cross-Reference Type No.","EAN 13","Item No.",$B40,"unit of measure","ea")</t>
  </si>
  <si>
    <t>=NL("Last","Item Unit of Measure","Height","Item No.",$B40,"code","ea")</t>
  </si>
  <si>
    <t>=NL("Last","Item Unit of Measure","Width","Item No.",$B40,"code","ea")</t>
  </si>
  <si>
    <t>=NL("Last","Item Unit of Measure","Length","Item No.",$B40,"code","ea")</t>
  </si>
  <si>
    <t>=NL("Last","Item Unit of Measure","Weight","Item No.",$B40,"code","ea")</t>
  </si>
  <si>
    <t>=NL("Last","Item","Country/Region of Origin Code","No.",$B40)</t>
  </si>
  <si>
    <t>=NL("Last","Item","Tariff No.","No.",$B40)</t>
  </si>
  <si>
    <t>=NL("Last","Item","Description","No.",$B41)</t>
  </si>
  <si>
    <t>=NL("Last","Sales Price","Unit Price","Item No.",$B41,"Ending Date","''","Sales Code","EUR PRICE")</t>
  </si>
  <si>
    <t>=NL("Last","Item","Multiple Order Quantity","No.",$B41)</t>
  </si>
  <si>
    <t>=NL("Last","Item Cross Reference","Cross-Reference No.","Cross-Reference Type No.","EAN 13","Item No.",$B41,"unit of measure","ea")</t>
  </si>
  <si>
    <t>=NL("Last","Item Unit of Measure","Height","Item No.",$B41,"code","ea")</t>
  </si>
  <si>
    <t>=NL("Last","Item Unit of Measure","Width","Item No.",$B41,"code","ea")</t>
  </si>
  <si>
    <t>=NL("Last","Item Unit of Measure","Length","Item No.",$B41,"code","ea")</t>
  </si>
  <si>
    <t>=NL("Last","Item Unit of Measure","Weight","Item No.",$B41,"code","ea")</t>
  </si>
  <si>
    <t>=NL("Last","Item","Country/Region of Origin Code","No.",$B41)</t>
  </si>
  <si>
    <t>=NL("Last","Item","Tariff No.","No.",$B41)</t>
  </si>
  <si>
    <t>=NL("Last","Item","Description","No.",$B42)</t>
  </si>
  <si>
    <t>=NL("Last","Sales Price","Unit Price","Item No.",$B42,"Ending Date","''","Sales Code","EUR PRICE")</t>
  </si>
  <si>
    <t>=NL("Last","Item","Multiple Order Quantity","No.",$B42)</t>
  </si>
  <si>
    <t>=NL("Last","Item Cross Reference","Cross-Reference No.","Cross-Reference Type No.","EAN 13","Item No.",$B42,"unit of measure","ea")</t>
  </si>
  <si>
    <t>=NL("Last","Item Unit of Measure","Height","Item No.",$B42,"code","ea")</t>
  </si>
  <si>
    <t>=NL("Last","Item Unit of Measure","Width","Item No.",$B42,"code","ea")</t>
  </si>
  <si>
    <t>=NL("Last","Item Unit of Measure","Length","Item No.",$B42,"code","ea")</t>
  </si>
  <si>
    <t>=NL("Last","Item Unit of Measure","Weight","Item No.",$B42,"code","ea")</t>
  </si>
  <si>
    <t>=NL("Last","Item","Country/Region of Origin Code","No.",$B42)</t>
  </si>
  <si>
    <t>=NL("Last","Item","Tariff No.","No.",$B42)</t>
  </si>
  <si>
    <t>=NL("Last","Item","Description","No.",$B43)</t>
  </si>
  <si>
    <t>=NL("Last","Sales Price","Unit Price","Item No.",$B43,"Ending Date","''","Sales Code","EUR PRICE")</t>
  </si>
  <si>
    <t>=NL("Last","Item","Multiple Order Quantity","No.",$B43)</t>
  </si>
  <si>
    <t>=NL("Last","Item Cross Reference","Cross-Reference No.","Cross-Reference Type No.","EAN 13","Item No.",$B43,"unit of measure","ea")</t>
  </si>
  <si>
    <t>=NL("Last","Item Unit of Measure","Height","Item No.",$B43,"code","ea")</t>
  </si>
  <si>
    <t>=NL("Last","Item Unit of Measure","Width","Item No.",$B43,"code","ea")</t>
  </si>
  <si>
    <t>=NL("Last","Item Unit of Measure","Length","Item No.",$B43,"code","ea")</t>
  </si>
  <si>
    <t>=NL("Last","Item Unit of Measure","Weight","Item No.",$B43,"code","ea")</t>
  </si>
  <si>
    <t>=NL("Last","Item","Country/Region of Origin Code","No.",$B43)</t>
  </si>
  <si>
    <t>=NL("Last","Item","Tariff No.","No.",$B43)</t>
  </si>
  <si>
    <t>=NL("Last","Item","Description","No.",$B44)</t>
  </si>
  <si>
    <t>=NL("Last","Sales Price","Unit Price","Item No.",$B44,"Ending Date","''","Sales Code","EUR PRICE")</t>
  </si>
  <si>
    <t>=NL("Last","Item","Multiple Order Quantity","No.",$B44)</t>
  </si>
  <si>
    <t>=NL("Last","Item Cross Reference","Cross-Reference No.","Cross-Reference Type No.","EAN 13","Item No.",$B44,"unit of measure","ea")</t>
  </si>
  <si>
    <t>=NL("Last","Item Unit of Measure","Height","Item No.",$B44,"code","ea")</t>
  </si>
  <si>
    <t>=NL("Last","Item Unit of Measure","Width","Item No.",$B44,"code","ea")</t>
  </si>
  <si>
    <t>=NL("Last","Item Unit of Measure","Length","Item No.",$B44,"code","ea")</t>
  </si>
  <si>
    <t>=NL("Last","Item Unit of Measure","Weight","Item No.",$B44,"code","ea")</t>
  </si>
  <si>
    <t>=NL("Last","Item","Country/Region of Origin Code","No.",$B44)</t>
  </si>
  <si>
    <t>=NL("Last","Item","Tariff No.","No.",$B44)</t>
  </si>
  <si>
    <t>=NL("Last","Item","Description","No.",$B45)</t>
  </si>
  <si>
    <t>=NL("Last","Sales Price","Unit Price","Item No.",$B45,"Ending Date","''","Sales Code","EUR PRICE")</t>
  </si>
  <si>
    <t>=NL("Last","Item","Multiple Order Quantity","No.",$B45)</t>
  </si>
  <si>
    <t>=NL("Last","Item Cross Reference","Cross-Reference No.","Cross-Reference Type No.","EAN 13","Item No.",$B45,"unit of measure","ea")</t>
  </si>
  <si>
    <t>=NL("Last","Item Unit of Measure","Height","Item No.",$B45,"code","ea")</t>
  </si>
  <si>
    <t>=NL("Last","Item Unit of Measure","Width","Item No.",$B45,"code","ea")</t>
  </si>
  <si>
    <t>=NL("Last","Item Unit of Measure","Length","Item No.",$B45,"code","ea")</t>
  </si>
  <si>
    <t>=NL("Last","Item Unit of Measure","Weight","Item No.",$B45,"code","ea")</t>
  </si>
  <si>
    <t>=NL("Last","Item","Country/Region of Origin Code","No.",$B45)</t>
  </si>
  <si>
    <t>=NL("Last","Item","Tariff No.","No.",$B45)</t>
  </si>
  <si>
    <t>=NL("Last","Item","Description","No.",$B46)</t>
  </si>
  <si>
    <t>=NL("Last","Sales Price","Unit Price","Item No.",$B46,"Ending Date","''","Sales Code","EUR PRICE")</t>
  </si>
  <si>
    <t>=NL("Last","Item","Multiple Order Quantity","No.",$B46)</t>
  </si>
  <si>
    <t>=NL("Last","Item Cross Reference","Cross-Reference No.","Cross-Reference Type No.","EAN 13","Item No.",$B46,"unit of measure","ea")</t>
  </si>
  <si>
    <t>=NL("Last","Item Unit of Measure","Height","Item No.",$B46,"code","ea")</t>
  </si>
  <si>
    <t>=NL("Last","Item Unit of Measure","Width","Item No.",$B46,"code","ea")</t>
  </si>
  <si>
    <t>=NL("Last","Item Unit of Measure","Length","Item No.",$B46,"code","ea")</t>
  </si>
  <si>
    <t>=NL("Last","Item Unit of Measure","Weight","Item No.",$B46,"code","ea")</t>
  </si>
  <si>
    <t>=NL("Last","Item","Country/Region of Origin Code","No.",$B46)</t>
  </si>
  <si>
    <t>=NL("Last","Item","Tariff No.","No.",$B46)</t>
  </si>
  <si>
    <t>=NL("Last","Item","Description","No.",$B47)</t>
  </si>
  <si>
    <t>=NL("Last","Sales Price","Unit Price","Item No.",$B47,"Ending Date","''","Sales Code","EUR PRICE")</t>
  </si>
  <si>
    <t>=NL("Last","Item","Multiple Order Quantity","No.",$B47)</t>
  </si>
  <si>
    <t>=NL("Last","Item Cross Reference","Cross-Reference No.","Cross-Reference Type No.","EAN 13","Item No.",$B47,"unit of measure","ea")</t>
  </si>
  <si>
    <t>=NL("Last","Item Unit of Measure","Height","Item No.",$B47,"code","ea")</t>
  </si>
  <si>
    <t>=NL("Last","Item Unit of Measure","Width","Item No.",$B47,"code","ea")</t>
  </si>
  <si>
    <t>=NL("Last","Item Unit of Measure","Length","Item No.",$B47,"code","ea")</t>
  </si>
  <si>
    <t>=NL("Last","Item Unit of Measure","Weight","Item No.",$B47,"code","ea")</t>
  </si>
  <si>
    <t>=NL("Last","Item","Country/Region of Origin Code","No.",$B47)</t>
  </si>
  <si>
    <t>=NL("Last","Item","Tariff No.","No.",$B47)</t>
  </si>
  <si>
    <t>=NL("Last","Item","Description","No.",$B48)</t>
  </si>
  <si>
    <t>=NL("Last","Sales Price","Unit Price","Item No.",$B48,"Ending Date","''","Sales Code","EUR PRICE")</t>
  </si>
  <si>
    <t>=NL("Last","Item","Multiple Order Quantity","No.",$B48)</t>
  </si>
  <si>
    <t>=NL("Last","Item Cross Reference","Cross-Reference No.","Cross-Reference Type No.","EAN 13","Item No.",$B48,"unit of measure","ea")</t>
  </si>
  <si>
    <t>=NL("Last","Item Unit of Measure","Height","Item No.",$B48,"code","ea")</t>
  </si>
  <si>
    <t>=NL("Last","Item Unit of Measure","Width","Item No.",$B48,"code","ea")</t>
  </si>
  <si>
    <t>=NL("Last","Item Unit of Measure","Length","Item No.",$B48,"code","ea")</t>
  </si>
  <si>
    <t>=NL("Last","Item Unit of Measure","Weight","Item No.",$B48,"code","ea")</t>
  </si>
  <si>
    <t>=NL("Last","Item","Country/Region of Origin Code","No.",$B48)</t>
  </si>
  <si>
    <t>=NL("Last","Item","Tariff No.","No.",$B48)</t>
  </si>
  <si>
    <t>=NL("Last","Item","Description","No.",$B49)</t>
  </si>
  <si>
    <t>=NL("Last","Sales Price","Unit Price","Item No.",$B49,"Ending Date","''","Sales Code","EUR PRICE")</t>
  </si>
  <si>
    <t>=NL("Last","Item","Multiple Order Quantity","No.",$B49)</t>
  </si>
  <si>
    <t>=NL("Last","Item Cross Reference","Cross-Reference No.","Cross-Reference Type No.","EAN 13","Item No.",$B49,"unit of measure","ea")</t>
  </si>
  <si>
    <t>=NL("Last","Item Unit of Measure","Height","Item No.",$B49,"code","ea")</t>
  </si>
  <si>
    <t>=NL("Last","Item Unit of Measure","Width","Item No.",$B49,"code","ea")</t>
  </si>
  <si>
    <t>=NL("Last","Item Unit of Measure","Length","Item No.",$B49,"code","ea")</t>
  </si>
  <si>
    <t>=NL("Last","Item Unit of Measure","Weight","Item No.",$B49,"code","ea")</t>
  </si>
  <si>
    <t>=NL("Last","Item","Country/Region of Origin Code","No.",$B49)</t>
  </si>
  <si>
    <t>=NL("Last","Item","Tariff No.","No.",$B49)</t>
  </si>
  <si>
    <t>=NL("Last","Item","Description","No.",$B50)</t>
  </si>
  <si>
    <t>=NL("Last","Sales Price","Unit Price","Item No.",$B50,"Ending Date","''","Sales Code","EUR PRICE")</t>
  </si>
  <si>
    <t>=NL("Last","Item","Multiple Order Quantity","No.",$B50)</t>
  </si>
  <si>
    <t>=NL("Last","Item Cross Reference","Cross-Reference No.","Cross-Reference Type No.","EAN 13","Item No.",$B50,"unit of measure","ea")</t>
  </si>
  <si>
    <t>=NL("Last","Item Unit of Measure","Height","Item No.",$B50,"code","ea")</t>
  </si>
  <si>
    <t>=NL("Last","Item Unit of Measure","Width","Item No.",$B50,"code","ea")</t>
  </si>
  <si>
    <t>=NL("Last","Item Unit of Measure","Length","Item No.",$B50,"code","ea")</t>
  </si>
  <si>
    <t>=NL("Last","Item Unit of Measure","Weight","Item No.",$B50,"code","ea")</t>
  </si>
  <si>
    <t>=NL("Last","Item","Country/Region of Origin Code","No.",$B50)</t>
  </si>
  <si>
    <t>=NL("Last","Item","Tariff No.","No.",$B50)</t>
  </si>
  <si>
    <t>=NL("Last","Item","Description","No.",$B51)</t>
  </si>
  <si>
    <t>=NL("Last","Sales Price","Unit Price","Item No.",$B51,"Ending Date","''","Sales Code","EUR PRICE")</t>
  </si>
  <si>
    <t>=NL("Last","Item","Multiple Order Quantity","No.",$B51)</t>
  </si>
  <si>
    <t>=NL("Last","Item Cross Reference","Cross-Reference No.","Cross-Reference Type No.","EAN 13","Item No.",$B51,"unit of measure","ea")</t>
  </si>
  <si>
    <t>=NL("Last","Item Unit of Measure","Height","Item No.",$B51,"code","ea")</t>
  </si>
  <si>
    <t>=NL("Last","Item Unit of Measure","Width","Item No.",$B51,"code","ea")</t>
  </si>
  <si>
    <t>=NL("Last","Item Unit of Measure","Length","Item No.",$B51,"code","ea")</t>
  </si>
  <si>
    <t>=NL("Last","Item Unit of Measure","Weight","Item No.",$B51,"code","ea")</t>
  </si>
  <si>
    <t>=NL("Last","Item","Country/Region of Origin Code","No.",$B51)</t>
  </si>
  <si>
    <t>=NL("Last","Item","Tariff No.","No.",$B51)</t>
  </si>
  <si>
    <t>=NL("Last","Item","Description","No.",$B52)</t>
  </si>
  <si>
    <t>=NL("Last","Sales Price","Unit Price","Item No.",$B52,"Ending Date","''","Sales Code","EUR PRICE")</t>
  </si>
  <si>
    <t>=NL("Last","Item","Multiple Order Quantity","No.",$B52)</t>
  </si>
  <si>
    <t>=NL("Last","Item Cross Reference","Cross-Reference No.","Cross-Reference Type No.","EAN 13","Item No.",$B52,"unit of measure","ea")</t>
  </si>
  <si>
    <t>=NL("Last","Item Unit of Measure","Height","Item No.",$B52,"code","ea")</t>
  </si>
  <si>
    <t>=NL("Last","Item Unit of Measure","Width","Item No.",$B52,"code","ea")</t>
  </si>
  <si>
    <t>=NL("Last","Item Unit of Measure","Length","Item No.",$B52,"code","ea")</t>
  </si>
  <si>
    <t>=NL("Last","Item Unit of Measure","Weight","Item No.",$B52,"code","ea")</t>
  </si>
  <si>
    <t>=NL("Last","Item","Country/Region of Origin Code","No.",$B52)</t>
  </si>
  <si>
    <t>=NL("Last","Item","Tariff No.","No.",$B52)</t>
  </si>
  <si>
    <t>=NL("Last","Item","Description","No.",$B53)</t>
  </si>
  <si>
    <t>=NL("Last","Sales Price","Unit Price","Item No.",$B53,"Ending Date","''","Sales Code","EUR PRICE")</t>
  </si>
  <si>
    <t>=NL("Last","Item","Multiple Order Quantity","No.",$B53)</t>
  </si>
  <si>
    <t>=NL("Last","Item Cross Reference","Cross-Reference No.","Cross-Reference Type No.","EAN 13","Item No.",$B53,"unit of measure","ea")</t>
  </si>
  <si>
    <t>=NL("Last","Item Unit of Measure","Height","Item No.",$B53,"code","ea")</t>
  </si>
  <si>
    <t>=NL("Last","Item Unit of Measure","Width","Item No.",$B53,"code","ea")</t>
  </si>
  <si>
    <t>=NL("Last","Item Unit of Measure","Length","Item No.",$B53,"code","ea")</t>
  </si>
  <si>
    <t>=NL("Last","Item Unit of Measure","Weight","Item No.",$B53,"code","ea")</t>
  </si>
  <si>
    <t>=NL("Last","Item","Country/Region of Origin Code","No.",$B53)</t>
  </si>
  <si>
    <t>=NL("Last","Item","Tariff No.","No.",$B53)</t>
  </si>
  <si>
    <t>=NL("Last","Item","Description","No.",$B54)</t>
  </si>
  <si>
    <t>=NL("Last","Sales Price","Unit Price","Item No.",$B54,"Ending Date","''","Sales Code","EUR PRICE")</t>
  </si>
  <si>
    <t>=NL("Last","Item","Multiple Order Quantity","No.",$B54)</t>
  </si>
  <si>
    <t>=NL("Last","Item Cross Reference","Cross-Reference No.","Cross-Reference Type No.","EAN 13","Item No.",$B54,"unit of measure","ea")</t>
  </si>
  <si>
    <t>=NL("Last","Item Unit of Measure","Height","Item No.",$B54,"code","ea")</t>
  </si>
  <si>
    <t>=NL("Last","Item Unit of Measure","Width","Item No.",$B54,"code","ea")</t>
  </si>
  <si>
    <t>=NL("Last","Item Unit of Measure","Length","Item No.",$B54,"code","ea")</t>
  </si>
  <si>
    <t>=NL("Last","Item Unit of Measure","Weight","Item No.",$B54,"code","ea")</t>
  </si>
  <si>
    <t>=NL("Last","Item","Country/Region of Origin Code","No.",$B54)</t>
  </si>
  <si>
    <t>=NL("Last","Item","Tariff No.","No.",$B54)</t>
  </si>
  <si>
    <t>=NL("Last","Item","Description","No.",$B55)</t>
  </si>
  <si>
    <t>=NL("Last","Sales Price","Unit Price","Item No.",$B55,"Ending Date","''","Sales Code","EUR PRICE")</t>
  </si>
  <si>
    <t>=NL("Last","Item","Multiple Order Quantity","No.",$B55)</t>
  </si>
  <si>
    <t>=NL("Last","Item Cross Reference","Cross-Reference No.","Cross-Reference Type No.","EAN 13","Item No.",$B55,"unit of measure","ea")</t>
  </si>
  <si>
    <t>=NL("Last","Item Unit of Measure","Height","Item No.",$B55,"code","ea")</t>
  </si>
  <si>
    <t>=NL("Last","Item Unit of Measure","Width","Item No.",$B55,"code","ea")</t>
  </si>
  <si>
    <t>=NL("Last","Item Unit of Measure","Length","Item No.",$B55,"code","ea")</t>
  </si>
  <si>
    <t>=NL("Last","Item Unit of Measure","Weight","Item No.",$B55,"code","ea")</t>
  </si>
  <si>
    <t>=NL("Last","Item","Country/Region of Origin Code","No.",$B55)</t>
  </si>
  <si>
    <t>=NL("Last","Item","Tariff No.","No.",$B55)</t>
  </si>
  <si>
    <t>=NL("Last","Item","Description","No.",$B56)</t>
  </si>
  <si>
    <t>=NL("Last","Sales Price","Unit Price","Item No.",$B56,"Ending Date","''","Sales Code","EUR PRICE")</t>
  </si>
  <si>
    <t>=NL("Last","Item","Multiple Order Quantity","No.",$B56)</t>
  </si>
  <si>
    <t>=NL("Last","Item Cross Reference","Cross-Reference No.","Cross-Reference Type No.","EAN 13","Item No.",$B56,"unit of measure","ea")</t>
  </si>
  <si>
    <t>=NL("Last","Item Unit of Measure","Height","Item No.",$B56,"code","ea")</t>
  </si>
  <si>
    <t>=NL("Last","Item Unit of Measure","Width","Item No.",$B56,"code","ea")</t>
  </si>
  <si>
    <t>=NL("Last","Item Unit of Measure","Length","Item No.",$B56,"code","ea")</t>
  </si>
  <si>
    <t>=NL("Last","Item Unit of Measure","Weight","Item No.",$B56,"code","ea")</t>
  </si>
  <si>
    <t>=NL("Last","Item","Country/Region of Origin Code","No.",$B56)</t>
  </si>
  <si>
    <t>=NL("Last","Item","Tariff No.","No.",$B56)</t>
  </si>
  <si>
    <t>=NL("Last","Item","Description","No.",$B57)</t>
  </si>
  <si>
    <t>=NL("Last","Sales Price","Unit Price","Item No.",$B57,"Ending Date","''","Sales Code","EUR PRICE")</t>
  </si>
  <si>
    <t>=NL("Last","Item","Multiple Order Quantity","No.",$B57)</t>
  </si>
  <si>
    <t>=NL("Last","Item Cross Reference","Cross-Reference No.","Cross-Reference Type No.","EAN 13","Item No.",$B57,"unit of measure","ea")</t>
  </si>
  <si>
    <t>=NL("Last","Item Unit of Measure","Height","Item No.",$B57,"code","ea")</t>
  </si>
  <si>
    <t>=NL("Last","Item Unit of Measure","Width","Item No.",$B57,"code","ea")</t>
  </si>
  <si>
    <t>=NL("Last","Item Unit of Measure","Length","Item No.",$B57,"code","ea")</t>
  </si>
  <si>
    <t>=NL("Last","Item Unit of Measure","Weight","Item No.",$B57,"code","ea")</t>
  </si>
  <si>
    <t>=NL("Last","Item","Country/Region of Origin Code","No.",$B57)</t>
  </si>
  <si>
    <t>=NL("Last","Item","Tariff No.","No.",$B57)</t>
  </si>
  <si>
    <t>=NL("Last","Item","Description","No.",$B58)</t>
  </si>
  <si>
    <t>=NL("Last","Sales Price","Unit Price","Item No.",$B58,"Ending Date","''","Sales Code","EUR PRICE")</t>
  </si>
  <si>
    <t>=NL("Last","Item","Multiple Order Quantity","No.",$B58)</t>
  </si>
  <si>
    <t>=NL("Last","Item Cross Reference","Cross-Reference No.","Cross-Reference Type No.","EAN 13","Item No.",$B58,"unit of measure","ea")</t>
  </si>
  <si>
    <t>=NL("Last","Item Unit of Measure","Height","Item No.",$B58,"code","ea")</t>
  </si>
  <si>
    <t>=NL("Last","Item Unit of Measure","Width","Item No.",$B58,"code","ea")</t>
  </si>
  <si>
    <t>=NL("Last","Item Unit of Measure","Length","Item No.",$B58,"code","ea")</t>
  </si>
  <si>
    <t>=NL("Last","Item Unit of Measure","Weight","Item No.",$B58,"code","ea")</t>
  </si>
  <si>
    <t>=NL("Last","Item","Country/Region of Origin Code","No.",$B58)</t>
  </si>
  <si>
    <t>=NL("Last","Item","Tariff No.","No.",$B58)</t>
  </si>
  <si>
    <t>=NL("Last","Item","Description","No.",$B59)</t>
  </si>
  <si>
    <t>=NL("Last","Sales Price","Unit Price","Item No.",$B59,"Ending Date","''","Sales Code","EUR PRICE")</t>
  </si>
  <si>
    <t>=NL("Last","Item","Multiple Order Quantity","No.",$B59)</t>
  </si>
  <si>
    <t>=NL("Last","Item Cross Reference","Cross-Reference No.","Cross-Reference Type No.","EAN 13","Item No.",$B59,"unit of measure","ea")</t>
  </si>
  <si>
    <t>=NL("Last","Item Unit of Measure","Height","Item No.",$B59,"code","ea")</t>
  </si>
  <si>
    <t>=NL("Last","Item Unit of Measure","Width","Item No.",$B59,"code","ea")</t>
  </si>
  <si>
    <t>=NL("Last","Item Unit of Measure","Length","Item No.",$B59,"code","ea")</t>
  </si>
  <si>
    <t>=NL("Last","Item Unit of Measure","Weight","Item No.",$B59,"code","ea")</t>
  </si>
  <si>
    <t>=NL("Last","Item","Country/Region of Origin Code","No.",$B59)</t>
  </si>
  <si>
    <t>=NL("Last","Item","Tariff No.","No.",$B59)</t>
  </si>
  <si>
    <t>=NL("Last","Item","Description","No.",$B60)</t>
  </si>
  <si>
    <t>=NL("Last","Sales Price","Unit Price","Item No.",$B60,"Ending Date","''","Sales Code","EUR PRICE")</t>
  </si>
  <si>
    <t>=NL("Last","Item Cross Reference","Cross-Reference No.","Cross-Reference Type No.","EAN 13","Item No.",$B60,"unit of measure","ea")</t>
  </si>
  <si>
    <t>=NL("Last","Item Unit of Measure","Height","Item No.",$B60,"code","ea")</t>
  </si>
  <si>
    <t>=NL("Last","Item Unit of Measure","Width","Item No.",$B60,"code","ea")</t>
  </si>
  <si>
    <t>=NL("Last","Item Unit of Measure","Length","Item No.",$B60,"code","ea")</t>
  </si>
  <si>
    <t>=NL("Last","Item Unit of Measure","Weight","Item No.",$B60,"code","ea")</t>
  </si>
  <si>
    <t>=NL("Last","Item","Country/Region of Origin Code","No.",$B60)</t>
  </si>
  <si>
    <t>=NL("Last","Item","Tariff No.","No.",$B60)</t>
  </si>
  <si>
    <t>=NL("Last","Item","Description","No.",$B61)</t>
  </si>
  <si>
    <t>=NL("Last","Sales Price","Unit Price","Item No.",$B61,"Ending Date","''","Sales Code","EUR PRICE")</t>
  </si>
  <si>
    <t>=NL("Last","Item","Multiple Order Quantity","No.",$B61)</t>
  </si>
  <si>
    <t>=NL("Last","Item Cross Reference","Cross-Reference No.","Cross-Reference Type No.","EAN 13","Item No.",$B61,"unit of measure","ea")</t>
  </si>
  <si>
    <t>=NL("Last","Item Unit of Measure","Height","Item No.",$B61,"code","ea")</t>
  </si>
  <si>
    <t>=NL("Last","Item Unit of Measure","Width","Item No.",$B61,"code","ea")</t>
  </si>
  <si>
    <t>=NL("Last","Item Unit of Measure","Length","Item No.",$B61,"code","ea")</t>
  </si>
  <si>
    <t>=NL("Last","Item Unit of Measure","Weight","Item No.",$B61,"code","ea")</t>
  </si>
  <si>
    <t>=NL("Last","Item","Country/Region of Origin Code","No.",$B61)</t>
  </si>
  <si>
    <t>=NL("Last","Item","Tariff No.","No.",$B61)</t>
  </si>
  <si>
    <t>=NL("Last","Item","Description","No.",$B62)</t>
  </si>
  <si>
    <t>=NL("Last","Sales Price","Unit Price","Item No.",$B62,"Ending Date","''","Sales Code","EUR PRICE")</t>
  </si>
  <si>
    <t>=NL("Last","Item Cross Reference","Cross-Reference No.","Cross-Reference Type No.","EAN 13","Item No.",$B62,"unit of measure","ea")</t>
  </si>
  <si>
    <t>=NL("Last","Item Unit of Measure","Height","Item No.",$B62,"code","ea")</t>
  </si>
  <si>
    <t>=NL("Last","Item Unit of Measure","Width","Item No.",$B62,"code","ea")</t>
  </si>
  <si>
    <t>=NL("Last","Item Unit of Measure","Length","Item No.",$B62,"code","ea")</t>
  </si>
  <si>
    <t>=NL("Last","Item Unit of Measure","Weight","Item No.",$B62,"code","ea")</t>
  </si>
  <si>
    <t>=NL("Last","Item","Country/Region of Origin Code","No.",$B62)</t>
  </si>
  <si>
    <t>=NL("Last","Item","Tariff No.","No.",$B62)</t>
  </si>
  <si>
    <t>=NL("Last","Item","Description","No.",$B63)</t>
  </si>
  <si>
    <t>=NL("Last","Sales Price","Unit Price","Item No.",$B63,"Ending Date","''","Sales Code","EUR PRICE")</t>
  </si>
  <si>
    <t>=NL("Last","Item","Multiple Order Quantity","No.",$B63)</t>
  </si>
  <si>
    <t>=NL("Last","Item Cross Reference","Cross-Reference No.","Cross-Reference Type No.","EAN 13","Item No.",$B63,"unit of measure","ea")</t>
  </si>
  <si>
    <t>=NL("Last","Item Unit of Measure","Height","Item No.",$B63,"code","ea")</t>
  </si>
  <si>
    <t>=NL("Last","Item Unit of Measure","Width","Item No.",$B63,"code","ea")</t>
  </si>
  <si>
    <t>=NL("Last","Item Unit of Measure","Length","Item No.",$B63,"code","ea")</t>
  </si>
  <si>
    <t>=NL("Last","Item Unit of Measure","Weight","Item No.",$B63,"code","ea")</t>
  </si>
  <si>
    <t>=NL("Last","Item","Country/Region of Origin Code","No.",$B63)</t>
  </si>
  <si>
    <t>=NL("Last","Item","Tariff No.","No.",$B63)</t>
  </si>
  <si>
    <t>=NL("Last","Item","Description","No.",$B64)</t>
  </si>
  <si>
    <t>=NL("Last","Sales Price","Unit Price","Item No.",$B64,"Ending Date","''","Sales Code","EUR PRICE")</t>
  </si>
  <si>
    <t>=NL("Last","Item","Multiple Order Quantity","No.",$B64)</t>
  </si>
  <si>
    <t>=NL("Last","Item Cross Reference","Cross-Reference No.","Cross-Reference Type No.","EAN 13","Item No.",$B64,"unit of measure","ea")</t>
  </si>
  <si>
    <t>=NL("Last","Item Unit of Measure","Height","Item No.",$B64,"code","ea")</t>
  </si>
  <si>
    <t>=NL("Last","Item Unit of Measure","Width","Item No.",$B64,"code","ea")</t>
  </si>
  <si>
    <t>=NL("Last","Item Unit of Measure","Length","Item No.",$B64,"code","ea")</t>
  </si>
  <si>
    <t>=NL("Last","Item Unit of Measure","Weight","Item No.",$B64,"code","ea")</t>
  </si>
  <si>
    <t>=NL("Last","Item","Country/Region of Origin Code","No.",$B64)</t>
  </si>
  <si>
    <t>=NL("Last","Item","Tariff No.","No.",$B64)</t>
  </si>
  <si>
    <t>=NL("Last","Item","Description","No.",$B65)</t>
  </si>
  <si>
    <t>=NL("Last","Sales Price","Unit Price","Item No.",$B65,"Ending Date","''","Sales Code","EUR PRICE")</t>
  </si>
  <si>
    <t>=NL("Last","Item","Multiple Order Quantity","No.",$B65)</t>
  </si>
  <si>
    <t>=NL("Last","Item Cross Reference","Cross-Reference No.","Cross-Reference Type No.","EAN 13","Item No.",$B65,"unit of measure","ea")</t>
  </si>
  <si>
    <t>=NL("Last","Item Unit of Measure","Height","Item No.",$B65,"code","ea")</t>
  </si>
  <si>
    <t>=NL("Last","Item Unit of Measure","Width","Item No.",$B65,"code","ea")</t>
  </si>
  <si>
    <t>=NL("Last","Item Unit of Measure","Length","Item No.",$B65,"code","ea")</t>
  </si>
  <si>
    <t>=NL("Last","Item Unit of Measure","Weight","Item No.",$B65,"code","ea")</t>
  </si>
  <si>
    <t>=NL("Last","Item","Country/Region of Origin Code","No.",$B65)</t>
  </si>
  <si>
    <t>=NL("Last","Item","Tariff No.","No.",$B65)</t>
  </si>
  <si>
    <t>=NL("Last","Item","Description","No.",$B66)</t>
  </si>
  <si>
    <t>=NL("Last","Sales Price","Unit Price","Item No.",$B66,"Ending Date","''","Sales Code","EUR PRICE")</t>
  </si>
  <si>
    <t>=NL("Last","Item","Multiple Order Quantity","No.",$B66)</t>
  </si>
  <si>
    <t>=NL("Last","Item Cross Reference","Cross-Reference No.","Cross-Reference Type No.","EAN 13","Item No.",$B66,"unit of measure","ea")</t>
  </si>
  <si>
    <t>=NL("Last","Item Unit of Measure","Height","Item No.",$B66,"code","ea")</t>
  </si>
  <si>
    <t>=NL("Last","Item Unit of Measure","Width","Item No.",$B66,"code","ea")</t>
  </si>
  <si>
    <t>=NL("Last","Item Unit of Measure","Length","Item No.",$B66,"code","ea")</t>
  </si>
  <si>
    <t>=NL("Last","Item Unit of Measure","Weight","Item No.",$B66,"code","ea")</t>
  </si>
  <si>
    <t>=NL("Last","Item","Country/Region of Origin Code","No.",$B66)</t>
  </si>
  <si>
    <t>=NL("Last","Item","Tariff No.","No.",$B66)</t>
  </si>
  <si>
    <t>=NL("Last","Item","Description","No.",$B67)</t>
  </si>
  <si>
    <t>=NL("Last","Sales Price","Unit Price","Item No.",$B67,"Ending Date","''","Sales Code","EUR PRICE")</t>
  </si>
  <si>
    <t>=NL("Last","Item","Multiple Order Quantity","No.",$B67)</t>
  </si>
  <si>
    <t>=NL("Last","Item Cross Reference","Cross-Reference No.","Cross-Reference Type No.","EAN 13","Item No.",$B67,"unit of measure","ea")</t>
  </si>
  <si>
    <t>=NL("Last","Item Unit of Measure","Height","Item No.",$B67,"code","ea")</t>
  </si>
  <si>
    <t>=NL("Last","Item Unit of Measure","Width","Item No.",$B67,"code","ea")</t>
  </si>
  <si>
    <t>=NL("Last","Item Unit of Measure","Length","Item No.",$B67,"code","ea")</t>
  </si>
  <si>
    <t>=NL("Last","Item Unit of Measure","Weight","Item No.",$B67,"code","ea")</t>
  </si>
  <si>
    <t>=NL("Last","Item","Country/Region of Origin Code","No.",$B67)</t>
  </si>
  <si>
    <t>=NL("Last","Item","Tariff No.","No.",$B67)</t>
  </si>
  <si>
    <t>=NL("Last","Item","Description","No.",$B68)</t>
  </si>
  <si>
    <t>=NL("Last","Sales Price","Unit Price","Item No.",$B68,"Ending Date","''","Sales Code","EUR PRICE")</t>
  </si>
  <si>
    <t>=NL("Last","Item","Multiple Order Quantity","No.",$B68)</t>
  </si>
  <si>
    <t>=NL("Last","Item Cross Reference","Cross-Reference No.","Cross-Reference Type No.","EAN 13","Item No.",$B68,"unit of measure","ea")</t>
  </si>
  <si>
    <t>=NL("Last","Item Unit of Measure","Height","Item No.",$B68,"code","ea")</t>
  </si>
  <si>
    <t>=NL("Last","Item Unit of Measure","Width","Item No.",$B68,"code","ea")</t>
  </si>
  <si>
    <t>=NL("Last","Item Unit of Measure","Length","Item No.",$B68,"code","ea")</t>
  </si>
  <si>
    <t>=NL("Last","Item Unit of Measure","Weight","Item No.",$B68,"code","ea")</t>
  </si>
  <si>
    <t>=NL("Last","Item","Country/Region of Origin Code","No.",$B68)</t>
  </si>
  <si>
    <t>=NL("Last","Item","Tariff No.","No.",$B68)</t>
  </si>
  <si>
    <t>=NL("Last","Item","Description","No.",$B69)</t>
  </si>
  <si>
    <t>=NL("Last","Sales Price","Unit Price","Item No.",$B69,"Ending Date","''","Sales Code","EUR PRICE")</t>
  </si>
  <si>
    <t>=NL("Last","Item","Multiple Order Quantity","No.",$B69)</t>
  </si>
  <si>
    <t>=NL("Last","Item Cross Reference","Cross-Reference No.","Cross-Reference Type No.","EAN 13","Item No.",$B69,"unit of measure","ea")</t>
  </si>
  <si>
    <t>=NL("Last","Item Unit of Measure","Height","Item No.",$B69,"code","ea")</t>
  </si>
  <si>
    <t>=NL("Last","Item Unit of Measure","Width","Item No.",$B69,"code","ea")</t>
  </si>
  <si>
    <t>=NL("Last","Item Unit of Measure","Length","Item No.",$B69,"code","ea")</t>
  </si>
  <si>
    <t>=NL("Last","Item Unit of Measure","Weight","Item No.",$B69,"code","ea")</t>
  </si>
  <si>
    <t>=NL("Last","Item","Country/Region of Origin Code","No.",$B69)</t>
  </si>
  <si>
    <t>=NL("Last","Item","Tariff No.","No.",$B69)</t>
  </si>
  <si>
    <t>=NL("Last","Item","Description","No.",$B70)</t>
  </si>
  <si>
    <t>=NL("Last","Sales Price","Unit Price","Item No.",$B70,"Ending Date","''","Sales Code","EUR PRICE")</t>
  </si>
  <si>
    <t>=NL("Last","Item","Multiple Order Quantity","No.",$B70)</t>
  </si>
  <si>
    <t>=NL("Last","Item Cross Reference","Cross-Reference No.","Cross-Reference Type No.","EAN 13","Item No.",$B70,"unit of measure","ea")</t>
  </si>
  <si>
    <t>=NL("Last","Item Unit of Measure","Height","Item No.",$B70,"code","ea")</t>
  </si>
  <si>
    <t>=NL("Last","Item Unit of Measure","Width","Item No.",$B70,"code","ea")</t>
  </si>
  <si>
    <t>=NL("Last","Item Unit of Measure","Length","Item No.",$B70,"code","ea")</t>
  </si>
  <si>
    <t>=NL("Last","Item Unit of Measure","Weight","Item No.",$B70,"code","ea")</t>
  </si>
  <si>
    <t>=NL("Last","Item","Country/Region of Origin Code","No.",$B70)</t>
  </si>
  <si>
    <t>=NL("Last","Item","Tariff No.","No.",$B70)</t>
  </si>
  <si>
    <t>=NL("Last","Item","Description","No.",$B71)</t>
  </si>
  <si>
    <t>=NL("Last","Sales Price","Unit Price","Item No.",$B71,"Ending Date","''","Sales Code","EUR PRICE")</t>
  </si>
  <si>
    <t>=NL("Last","Item","Multiple Order Quantity","No.",$B71)</t>
  </si>
  <si>
    <t>=NL("Last","Item Cross Reference","Cross-Reference No.","Cross-Reference Type No.","EAN 13","Item No.",$B71,"unit of measure","ea")</t>
  </si>
  <si>
    <t>=NL("Last","Item Unit of Measure","Height","Item No.",$B71,"code","ea")</t>
  </si>
  <si>
    <t>=NL("Last","Item Unit of Measure","Width","Item No.",$B71,"code","ea")</t>
  </si>
  <si>
    <t>=NL("Last","Item Unit of Measure","Length","Item No.",$B71,"code","ea")</t>
  </si>
  <si>
    <t>=NL("Last","Item Unit of Measure","Weight","Item No.",$B71,"code","ea")</t>
  </si>
  <si>
    <t>=NL("Last","Item","Country/Region of Origin Code","No.",$B71)</t>
  </si>
  <si>
    <t>=NL("Last","Item","Tariff No.","No.",$B71)</t>
  </si>
  <si>
    <t>=NL("Last","Item","Description","No.",$B72)</t>
  </si>
  <si>
    <t>=NL("Last","Sales Price","Unit Price","Item No.",$B72,"Ending Date","''","Sales Code","EUR PRICE")</t>
  </si>
  <si>
    <t>=NL("Last","Item","Multiple Order Quantity","No.",$B72)</t>
  </si>
  <si>
    <t>=NL("Last","Item Cross Reference","Cross-Reference No.","Cross-Reference Type No.","EAN 13","Item No.",$B72,"unit of measure","ea")</t>
  </si>
  <si>
    <t>=NL("Last","Item Unit of Measure","Height","Item No.",$B72,"code","ea")</t>
  </si>
  <si>
    <t>=NL("Last","Item Unit of Measure","Width","Item No.",$B72,"code","ea")</t>
  </si>
  <si>
    <t>=NL("Last","Item Unit of Measure","Length","Item No.",$B72,"code","ea")</t>
  </si>
  <si>
    <t>=NL("Last","Item Unit of Measure","Weight","Item No.",$B72,"code","ea")</t>
  </si>
  <si>
    <t>=NL("Last","Item","Country/Region of Origin Code","No.",$B72)</t>
  </si>
  <si>
    <t>=NL("Last","Item","Tariff No.","No.",$B72)</t>
  </si>
  <si>
    <t>=NL("Last","Item","Description","No.",$B73)</t>
  </si>
  <si>
    <t>=NL("Last","Sales Price","Unit Price","Item No.",$B73,"Ending Date","''","Sales Code","EUR PRICE")</t>
  </si>
  <si>
    <t>=NL("Last","Item","Multiple Order Quantity","No.",$B73)</t>
  </si>
  <si>
    <t>=NL("Last","Item Cross Reference","Cross-Reference No.","Cross-Reference Type No.","EAN 13","Item No.",$B73,"unit of measure","ea")</t>
  </si>
  <si>
    <t>=NL("Last","Item Unit of Measure","Height","Item No.",$B73,"code","ea")</t>
  </si>
  <si>
    <t>=NL("Last","Item Unit of Measure","Width","Item No.",$B73,"code","ea")</t>
  </si>
  <si>
    <t>=NL("Last","Item Unit of Measure","Length","Item No.",$B73,"code","ea")</t>
  </si>
  <si>
    <t>=NL("Last","Item Unit of Measure","Weight","Item No.",$B73,"code","ea")</t>
  </si>
  <si>
    <t>=NL("Last","Item","Country/Region of Origin Code","No.",$B73)</t>
  </si>
  <si>
    <t>=NL("Last","Item","Tariff No.","No.",$B73)</t>
  </si>
  <si>
    <t>=NL("Last","Item","Description","No.",$B74)</t>
  </si>
  <si>
    <t>=NL("Last","Sales Price","Unit Price","Item No.",$B74,"Ending Date","''","Sales Code","EUR PRICE")</t>
  </si>
  <si>
    <t>=NL("Last","Item","Multiple Order Quantity","No.",$B74)</t>
  </si>
  <si>
    <t>=NL("Last","Item Cross Reference","Cross-Reference No.","Cross-Reference Type No.","EAN 13","Item No.",$B74,"unit of measure","ea")</t>
  </si>
  <si>
    <t>=NL("Last","Item Unit of Measure","Height","Item No.",$B74,"code","ea")</t>
  </si>
  <si>
    <t>=NL("Last","Item Unit of Measure","Width","Item No.",$B74,"code","ea")</t>
  </si>
  <si>
    <t>=NL("Last","Item Unit of Measure","Length","Item No.",$B74,"code","ea")</t>
  </si>
  <si>
    <t>=NL("Last","Item Unit of Measure","Weight","Item No.",$B74,"code","ea")</t>
  </si>
  <si>
    <t>=NL("Last","Item","Country/Region of Origin Code","No.",$B74)</t>
  </si>
  <si>
    <t>=NL("Last","Item","Tariff No.","No.",$B74)</t>
  </si>
  <si>
    <t>=NL("Last","Item","Description","No.",$B75)</t>
  </si>
  <si>
    <t>=NL("Last","Sales Price","Unit Price","Item No.",$B75,"Ending Date","''","Sales Code","EUR PRICE")</t>
  </si>
  <si>
    <t>=NL("Last","Item","Multiple Order Quantity","No.",$B75)</t>
  </si>
  <si>
    <t>=NL("Last","Item Cross Reference","Cross-Reference No.","Cross-Reference Type No.","EAN 13","Item No.",$B75,"unit of measure","ea")</t>
  </si>
  <si>
    <t>=NL("Last","Item Unit of Measure","Height","Item No.",$B75,"code","ea")</t>
  </si>
  <si>
    <t>=NL("Last","Item Unit of Measure","Width","Item No.",$B75,"code","ea")</t>
  </si>
  <si>
    <t>=NL("Last","Item Unit of Measure","Length","Item No.",$B75,"code","ea")</t>
  </si>
  <si>
    <t>=NL("Last","Item Unit of Measure","Weight","Item No.",$B75,"code","ea")</t>
  </si>
  <si>
    <t>=NL("Last","Item","Country/Region of Origin Code","No.",$B75)</t>
  </si>
  <si>
    <t>=NL("Last","Item","Tariff No.","No.",$B75)</t>
  </si>
  <si>
    <t>=NL("Last","Item","Description","No.",$B76)</t>
  </si>
  <si>
    <t>=NL("Last","Sales Price","Unit Price","Item No.",$B76,"Ending Date","''","Sales Code","EUR PRICE")</t>
  </si>
  <si>
    <t>=NL("Last","Item","Multiple Order Quantity","No.",$B76)</t>
  </si>
  <si>
    <t>=NL("Last","Item Cross Reference","Cross-Reference No.","Cross-Reference Type No.","EAN 13","Item No.",$B76,"unit of measure","ea")</t>
  </si>
  <si>
    <t>=NL("Last","Item Unit of Measure","Height","Item No.",$B76,"code","ea")</t>
  </si>
  <si>
    <t>=NL("Last","Item Unit of Measure","Width","Item No.",$B76,"code","ea")</t>
  </si>
  <si>
    <t>=NL("Last","Item Unit of Measure","Length","Item No.",$B76,"code","ea")</t>
  </si>
  <si>
    <t>=NL("Last","Item Unit of Measure","Weight","Item No.",$B76,"code","ea")</t>
  </si>
  <si>
    <t>=NL("Last","Item","Country/Region of Origin Code","No.",$B76)</t>
  </si>
  <si>
    <t>=NL("Last","Item","Tariff No.","No.",$B76)</t>
  </si>
  <si>
    <t>=NL("Last","Item","Description","No.",$B77)</t>
  </si>
  <si>
    <t>=NL("Last","Sales Price","Unit Price","Item No.",$B77,"Ending Date","''","Sales Code","EUR PRICE")</t>
  </si>
  <si>
    <t>=NL("Last","Item","Multiple Order Quantity","No.",$B77)</t>
  </si>
  <si>
    <t>=NL("Last","Item Cross Reference","Cross-Reference No.","Cross-Reference Type No.","EAN 13","Item No.",$B77,"unit of measure","ea")</t>
  </si>
  <si>
    <t>=NL("Last","Item Unit of Measure","Height","Item No.",$B77,"code","ea")</t>
  </si>
  <si>
    <t>=NL("Last","Item Unit of Measure","Width","Item No.",$B77,"code","ea")</t>
  </si>
  <si>
    <t>=NL("Last","Item Unit of Measure","Length","Item No.",$B77,"code","ea")</t>
  </si>
  <si>
    <t>=NL("Last","Item Unit of Measure","Weight","Item No.",$B77,"code","ea")</t>
  </si>
  <si>
    <t>=NL("Last","Item","Country/Region of Origin Code","No.",$B77)</t>
  </si>
  <si>
    <t>=NL("Last","Item","Tariff No.","No.",$B77)</t>
  </si>
  <si>
    <t>=NL("Last","Item","Description","No.",$B78)</t>
  </si>
  <si>
    <t>=NL("Last","Sales Price","Unit Price","Item No.",$B78,"Ending Date","''","Sales Code","EUR PRICE")</t>
  </si>
  <si>
    <t>=NL("Last","Item","Multiple Order Quantity","No.",$B78)</t>
  </si>
  <si>
    <t>=NL("Last","Item Cross Reference","Cross-Reference No.","Cross-Reference Type No.","EAN 13","Item No.",$B78,"unit of measure","ea")</t>
  </si>
  <si>
    <t>=NL("Last","Item Unit of Measure","Height","Item No.",$B78,"code","ea")</t>
  </si>
  <si>
    <t>=NL("Last","Item Unit of Measure","Width","Item No.",$B78,"code","ea")</t>
  </si>
  <si>
    <t>=NL("Last","Item Unit of Measure","Length","Item No.",$B78,"code","ea")</t>
  </si>
  <si>
    <t>=NL("Last","Item Unit of Measure","Weight","Item No.",$B78,"code","ea")</t>
  </si>
  <si>
    <t>=NL("Last","Item","Country/Region of Origin Code","No.",$B78)</t>
  </si>
  <si>
    <t>=NL("Last","Item","Tariff No.","No.",$B78)</t>
  </si>
  <si>
    <t>=NL("Last","Item","Description","No.",$B79)</t>
  </si>
  <si>
    <t>=NL("Last","Sales Price","Unit Price","Item No.",$B79,"Ending Date","''","Sales Code","EUR PRICE")</t>
  </si>
  <si>
    <t>=NL("Last","Item","Multiple Order Quantity","No.",$B79)</t>
  </si>
  <si>
    <t>=NL("Last","Item Cross Reference","Cross-Reference No.","Cross-Reference Type No.","EAN 13","Item No.",$B79,"unit of measure","ea")</t>
  </si>
  <si>
    <t>=NL("Last","Item Unit of Measure","Height","Item No.",$B79,"code","ea")</t>
  </si>
  <si>
    <t>=NL("Last","Item Unit of Measure","Width","Item No.",$B79,"code","ea")</t>
  </si>
  <si>
    <t>=NL("Last","Item Unit of Measure","Length","Item No.",$B79,"code","ea")</t>
  </si>
  <si>
    <t>=NL("Last","Item Unit of Measure","Weight","Item No.",$B79,"code","ea")</t>
  </si>
  <si>
    <t>=NL("Last","Item","Country/Region of Origin Code","No.",$B79)</t>
  </si>
  <si>
    <t>=NL("Last","Item","Tariff No.","No.",$B79)</t>
  </si>
  <si>
    <t>=NL("Last","Item","Description","No.",$B80)</t>
  </si>
  <si>
    <t>=NL("Last","Sales Price","Unit Price","Item No.",$B80,"Ending Date","''","Sales Code","EUR PRICE")</t>
  </si>
  <si>
    <t>=NL("Last","Item","Multiple Order Quantity","No.",$B80)</t>
  </si>
  <si>
    <t>=NL("Last","Item Cross Reference","Cross-Reference No.","Cross-Reference Type No.","EAN 13","Item No.",$B80,"unit of measure","ea")</t>
  </si>
  <si>
    <t>=NL("Last","Item Unit of Measure","Height","Item No.",$B80,"code","ea")</t>
  </si>
  <si>
    <t>=NL("Last","Item Unit of Measure","Width","Item No.",$B80,"code","ea")</t>
  </si>
  <si>
    <t>=NL("Last","Item Unit of Measure","Length","Item No.",$B80,"code","ea")</t>
  </si>
  <si>
    <t>=NL("Last","Item Unit of Measure","Weight","Item No.",$B80,"code","ea")</t>
  </si>
  <si>
    <t>=NL("Last","Item","Country/Region of Origin Code","No.",$B80)</t>
  </si>
  <si>
    <t>=NL("Last","Item","Tariff No.","No.",$B80)</t>
  </si>
  <si>
    <t>=NL("Last","Item","Description","No.",$B81)</t>
  </si>
  <si>
    <t>=NL("Last","Sales Price","Unit Price","Item No.",$B81,"Ending Date","''","Sales Code","EUR PRICE")</t>
  </si>
  <si>
    <t>=NL("Last","Item","Multiple Order Quantity","No.",$B81)</t>
  </si>
  <si>
    <t>=NL("Last","Item Cross Reference","Cross-Reference No.","Cross-Reference Type No.","EAN 13","Item No.",$B81,"unit of measure","ea")</t>
  </si>
  <si>
    <t>=NL("Last","Item Unit of Measure","Height","Item No.",$B81,"code","ea")</t>
  </si>
  <si>
    <t>=NL("Last","Item Unit of Measure","Width","Item No.",$B81,"code","ea")</t>
  </si>
  <si>
    <t>=NL("Last","Item Unit of Measure","Length","Item No.",$B81,"code","ea")</t>
  </si>
  <si>
    <t>=NL("Last","Item Unit of Measure","Weight","Item No.",$B81,"code","ea")</t>
  </si>
  <si>
    <t>=NL("Last","Item","Country/Region of Origin Code","No.",$B81)</t>
  </si>
  <si>
    <t>=NL("Last","Item","Tariff No.","No.",$B81)</t>
  </si>
  <si>
    <t>=NL("Last","Item","Description","No.",$B82)</t>
  </si>
  <si>
    <t>=NL("Last","Sales Price","Unit Price","Item No.",$B82,"Ending Date","''","Sales Code","EUR PRICE")</t>
  </si>
  <si>
    <t>=NL("Last","Item","Multiple Order Quantity","No.",$B82)</t>
  </si>
  <si>
    <t>=NL("Last","Item Cross Reference","Cross-Reference No.","Cross-Reference Type No.","EAN 13","Item No.",$B82,"unit of measure","ea")</t>
  </si>
  <si>
    <t>=NL("Last","Item Unit of Measure","Height","Item No.",$B82,"code","ea")</t>
  </si>
  <si>
    <t>=NL("Last","Item Unit of Measure","Width","Item No.",$B82,"code","ea")</t>
  </si>
  <si>
    <t>=NL("Last","Item Unit of Measure","Length","Item No.",$B82,"code","ea")</t>
  </si>
  <si>
    <t>=NL("Last","Item Unit of Measure","Weight","Item No.",$B82,"code","ea")</t>
  </si>
  <si>
    <t>=NL("Last","Item","Country/Region of Origin Code","No.",$B82)</t>
  </si>
  <si>
    <t>=NL("Last","Item","Tariff No.","No.",$B82)</t>
  </si>
  <si>
    <t>=NL("Last","Item","Description","No.",$B83)</t>
  </si>
  <si>
    <t>=NL("Last","Sales Price","Unit Price","Item No.",$B83,"Ending Date","''","Sales Code","EUR PRICE")</t>
  </si>
  <si>
    <t>=NL("Last","Item","Multiple Order Quantity","No.",$B83)</t>
  </si>
  <si>
    <t>=NL("Last","Item Cross Reference","Cross-Reference No.","Cross-Reference Type No.","EAN 13","Item No.",$B83,"unit of measure","ea")</t>
  </si>
  <si>
    <t>=NL("Last","Item Unit of Measure","Height","Item No.",$B83,"code","ea")</t>
  </si>
  <si>
    <t>=NL("Last","Item Unit of Measure","Width","Item No.",$B83,"code","ea")</t>
  </si>
  <si>
    <t>=NL("Last","Item Unit of Measure","Length","Item No.",$B83,"code","ea")</t>
  </si>
  <si>
    <t>=NL("Last","Item Unit of Measure","Weight","Item No.",$B83,"code","ea")</t>
  </si>
  <si>
    <t>=NL("Last","Item","Country/Region of Origin Code","No.",$B83)</t>
  </si>
  <si>
    <t>=NL("Last","Item","Tariff No.","No.",$B83)</t>
  </si>
  <si>
    <t>=NL("Last","Item","Description","No.",$B84)</t>
  </si>
  <si>
    <t>=NL("Last","Sales Price","Unit Price","Item No.",$B84,"Ending Date","''","Sales Code","EUR PRICE")</t>
  </si>
  <si>
    <t>=NL("Last","Item","Multiple Order Quantity","No.",$B84)</t>
  </si>
  <si>
    <t>=NL("Last","Item Cross Reference","Cross-Reference No.","Cross-Reference Type No.","EAN 13","Item No.",$B84,"unit of measure","ea")</t>
  </si>
  <si>
    <t>=NL("Last","Item Unit of Measure","Height","Item No.",$B84,"code","ea")</t>
  </si>
  <si>
    <t>=NL("Last","Item Unit of Measure","Width","Item No.",$B84,"code","ea")</t>
  </si>
  <si>
    <t>=NL("Last","Item Unit of Measure","Length","Item No.",$B84,"code","ea")</t>
  </si>
  <si>
    <t>=NL("Last","Item Unit of Measure","Weight","Item No.",$B84,"code","ea")</t>
  </si>
  <si>
    <t>=NL("Last","Item","Country/Region of Origin Code","No.",$B84)</t>
  </si>
  <si>
    <t>=NL("Last","Item","Tariff No.","No.",$B84)</t>
  </si>
  <si>
    <t>=NL("Last","Item","Description","No.",$B85)</t>
  </si>
  <si>
    <t>=NL("Last","Sales Price","Unit Price","Item No.",$B85,"Ending Date","''","Sales Code","EUR PRICE")</t>
  </si>
  <si>
    <t>=NL("Last","Item","Multiple Order Quantity","No.",$B85)</t>
  </si>
  <si>
    <t>=NL("Last","Item Cross Reference","Cross-Reference No.","Cross-Reference Type No.","EAN 13","Item No.",$B85,"unit of measure","ea")</t>
  </si>
  <si>
    <t>=NL("Last","Item Unit of Measure","Height","Item No.",$B85,"code","ea")</t>
  </si>
  <si>
    <t>=NL("Last","Item Unit of Measure","Width","Item No.",$B85,"code","ea")</t>
  </si>
  <si>
    <t>=NL("Last","Item Unit of Measure","Length","Item No.",$B85,"code","ea")</t>
  </si>
  <si>
    <t>=NL("Last","Item Unit of Measure","Weight","Item No.",$B85,"code","ea")</t>
  </si>
  <si>
    <t>=NL("Last","Item","Country/Region of Origin Code","No.",$B85)</t>
  </si>
  <si>
    <t>=NL("Last","Item","Tariff No.","No.",$B85)</t>
  </si>
  <si>
    <t>=NL("Last","Item","Description","No.",$B86)</t>
  </si>
  <si>
    <t>=NL("Last","Sales Price","Unit Price","Item No.",$B86,"Ending Date","''","Sales Code","EUR PRICE")</t>
  </si>
  <si>
    <t>=NL("Last","Item","Multiple Order Quantity","No.",$B86)</t>
  </si>
  <si>
    <t>=NL("Last","Item Cross Reference","Cross-Reference No.","Cross-Reference Type No.","EAN 13","Item No.",$B86,"unit of measure","ea")</t>
  </si>
  <si>
    <t>=NL("Last","Item Unit of Measure","Height","Item No.",$B86,"code","ea")</t>
  </si>
  <si>
    <t>=NL("Last","Item Unit of Measure","Width","Item No.",$B86,"code","ea")</t>
  </si>
  <si>
    <t>=NL("Last","Item Unit of Measure","Length","Item No.",$B86,"code","ea")</t>
  </si>
  <si>
    <t>=NL("Last","Item Unit of Measure","Weight","Item No.",$B86,"code","ea")</t>
  </si>
  <si>
    <t>=NL("Last","Item","Country/Region of Origin Code","No.",$B86)</t>
  </si>
  <si>
    <t>=NL("Last","Item","Tariff No.","No.",$B86)</t>
  </si>
  <si>
    <t>=NL("Last","Item","Description","No.",$B87)</t>
  </si>
  <si>
    <t>=NL("Last","Sales Price","Unit Price","Item No.",$B87,"Ending Date","''","Sales Code","EUR PRICE")</t>
  </si>
  <si>
    <t>=NL("Last","Item","Multiple Order Quantity","No.",$B87)</t>
  </si>
  <si>
    <t>=NL("Last","Item Cross Reference","Cross-Reference No.","Cross-Reference Type No.","EAN 13","Item No.",$B87,"unit of measure","ea")</t>
  </si>
  <si>
    <t>=NL("Last","Item Unit of Measure","Height","Item No.",$B87,"code","ea")</t>
  </si>
  <si>
    <t>=NL("Last","Item Unit of Measure","Width","Item No.",$B87,"code","ea")</t>
  </si>
  <si>
    <t>=NL("Last","Item Unit of Measure","Length","Item No.",$B87,"code","ea")</t>
  </si>
  <si>
    <t>=NL("Last","Item Unit of Measure","Weight","Item No.",$B87,"code","ea")</t>
  </si>
  <si>
    <t>=NL("Last","Item","Country/Region of Origin Code","No.",$B87)</t>
  </si>
  <si>
    <t>=NL("Last","Item","Tariff No.","No.",$B87)</t>
  </si>
  <si>
    <t>=NL("Last","Item","Description","No.",$B88)</t>
  </si>
  <si>
    <t>=NL("Last","Sales Price","Unit Price","Item No.",$B88,"Ending Date","''","Sales Code","EUR PRICE")</t>
  </si>
  <si>
    <t>=NL("Last","Item","Multiple Order Quantity","No.",$B88)</t>
  </si>
  <si>
    <t>=NL("Last","Item Cross Reference","Cross-Reference No.","Cross-Reference Type No.","EAN 13","Item No.",$B88,"unit of measure","ea")</t>
  </si>
  <si>
    <t>=NL("Last","Item Unit of Measure","Height","Item No.",$B88,"code","ea")</t>
  </si>
  <si>
    <t>=NL("Last","Item Unit of Measure","Width","Item No.",$B88,"code","ea")</t>
  </si>
  <si>
    <t>=NL("Last","Item Unit of Measure","Length","Item No.",$B88,"code","ea")</t>
  </si>
  <si>
    <t>=NL("Last","Item Unit of Measure","Weight","Item No.",$B88,"code","ea")</t>
  </si>
  <si>
    <t>=NL("Last","Item","Country/Region of Origin Code","No.",$B88)</t>
  </si>
  <si>
    <t>=NL("Last","Item","Tariff No.","No.",$B88)</t>
  </si>
  <si>
    <t>=NL("Last","Item","Description","No.",$B89)</t>
  </si>
  <si>
    <t>=NL("Last","Sales Price","Unit Price","Item No.",$B89,"Ending Date","''","Sales Code","EUR PRICE")</t>
  </si>
  <si>
    <t>=NL("Last","Item","Multiple Order Quantity","No.",$B89)</t>
  </si>
  <si>
    <t>=NL("Last","Item Cross Reference","Cross-Reference No.","Cross-Reference Type No.","EAN 13","Item No.",$B89,"unit of measure","ea")</t>
  </si>
  <si>
    <t>=NL("Last","Item Unit of Measure","Height","Item No.",$B89,"code","ea")</t>
  </si>
  <si>
    <t>=NL("Last","Item Unit of Measure","Width","Item No.",$B89,"code","ea")</t>
  </si>
  <si>
    <t>=NL("Last","Item Unit of Measure","Length","Item No.",$B89,"code","ea")</t>
  </si>
  <si>
    <t>=NL("Last","Item Unit of Measure","Weight","Item No.",$B89,"code","ea")</t>
  </si>
  <si>
    <t>=NL("Last","Item","Country/Region of Origin Code","No.",$B89)</t>
  </si>
  <si>
    <t>=NL("Last","Item","Tariff No.","No.",$B89)</t>
  </si>
  <si>
    <t>=NL("Last","Item","Description","No.",$B90)</t>
  </si>
  <si>
    <t>=NL("Last","Sales Price","Unit Price","Item No.",$B90,"Ending Date","''","Sales Code","EUR PRICE")</t>
  </si>
  <si>
    <t>=NL("Last","Item","Multiple Order Quantity","No.",$B90)</t>
  </si>
  <si>
    <t>=NL("Last","Item Cross Reference","Cross-Reference No.","Cross-Reference Type No.","EAN 13","Item No.",$B90,"unit of measure","ea")</t>
  </si>
  <si>
    <t>=NL("Last","Item Unit of Measure","Height","Item No.",$B90,"code","ea")</t>
  </si>
  <si>
    <t>=NL("Last","Item Unit of Measure","Width","Item No.",$B90,"code","ea")</t>
  </si>
  <si>
    <t>=NL("Last","Item Unit of Measure","Length","Item No.",$B90,"code","ea")</t>
  </si>
  <si>
    <t>=NL("Last","Item Unit of Measure","Weight","Item No.",$B90,"code","ea")</t>
  </si>
  <si>
    <t>=NL("Last","Item","Country/Region of Origin Code","No.",$B90)</t>
  </si>
  <si>
    <t>=NL("Last","Item","Tariff No.","No.",$B90)</t>
  </si>
  <si>
    <t>=NL("Last","Item","Description","No.",$B91)</t>
  </si>
  <si>
    <t>=NL("Last","Sales Price","Unit Price","Item No.",$B91,"Ending Date","''","Sales Code","EUR PRICE")</t>
  </si>
  <si>
    <t>=NL("Last","Item","Multiple Order Quantity","No.",$B91)</t>
  </si>
  <si>
    <t>=NL("Last","Item Cross Reference","Cross-Reference No.","Cross-Reference Type No.","EAN 13","Item No.",$B91,"unit of measure","ea")</t>
  </si>
  <si>
    <t>=NL("Last","Item Unit of Measure","Height","Item No.",$B91,"code","ea")</t>
  </si>
  <si>
    <t>=NL("Last","Item Unit of Measure","Width","Item No.",$B91,"code","ea")</t>
  </si>
  <si>
    <t>=NL("Last","Item Unit of Measure","Length","Item No.",$B91,"code","ea")</t>
  </si>
  <si>
    <t>=NL("Last","Item Unit of Measure","Weight","Item No.",$B91,"code","ea")</t>
  </si>
  <si>
    <t>=NL("Last","Item","Country/Region of Origin Code","No.",$B91)</t>
  </si>
  <si>
    <t>=NL("Last","Item","Tariff No.","No.",$B91)</t>
  </si>
  <si>
    <t>=NL("Last","Item","Description","No.",$B92)</t>
  </si>
  <si>
    <t>=NL("Last","Sales Price","Unit Price","Item No.",$B92,"Ending Date","''","Sales Code","EUR PRICE")</t>
  </si>
  <si>
    <t>=NL("Last","Item","Multiple Order Quantity","No.",$B92)</t>
  </si>
  <si>
    <t>=NL("Last","Item Cross Reference","Cross-Reference No.","Cross-Reference Type No.","EAN 13","Item No.",$B92,"unit of measure","ea")</t>
  </si>
  <si>
    <t>=NL("Last","Item Unit of Measure","Height","Item No.",$B92,"code","ea")</t>
  </si>
  <si>
    <t>=NL("Last","Item Unit of Measure","Width","Item No.",$B92,"code","ea")</t>
  </si>
  <si>
    <t>=NL("Last","Item Unit of Measure","Length","Item No.",$B92,"code","ea")</t>
  </si>
  <si>
    <t>=NL("Last","Item Unit of Measure","Weight","Item No.",$B92,"code","ea")</t>
  </si>
  <si>
    <t>=NL("Last","Item","Country/Region of Origin Code","No.",$B92)</t>
  </si>
  <si>
    <t>=NL("Last","Item","Tariff No.","No.",$B92)</t>
  </si>
  <si>
    <t>=NL("Last","Item","Description","No.",$B93)</t>
  </si>
  <si>
    <t>=NL("Last","Sales Price","Unit Price","Item No.",$B93,"Ending Date","''","Sales Code","EUR PRICE")</t>
  </si>
  <si>
    <t>=NL("Last","Item","Multiple Order Quantity","No.",$B93)</t>
  </si>
  <si>
    <t>=NL("Last","Item Cross Reference","Cross-Reference No.","Cross-Reference Type No.","EAN 13","Item No.",$B93,"unit of measure","ea")</t>
  </si>
  <si>
    <t>=NL("Last","Item Unit of Measure","Height","Item No.",$B93,"code","ea")</t>
  </si>
  <si>
    <t>=NL("Last","Item Unit of Measure","Width","Item No.",$B93,"code","ea")</t>
  </si>
  <si>
    <t>=NL("Last","Item Unit of Measure","Length","Item No.",$B93,"code","ea")</t>
  </si>
  <si>
    <t>=NL("Last","Item Unit of Measure","Weight","Item No.",$B93,"code","ea")</t>
  </si>
  <si>
    <t>=NL("Last","Item","Country/Region of Origin Code","No.",$B93)</t>
  </si>
  <si>
    <t>=NL("Last","Item","Tariff No.","No.",$B93)</t>
  </si>
  <si>
    <t>=NL("Last","Item","Description","No.",$B94)</t>
  </si>
  <si>
    <t>=NL("Last","Sales Price","Unit Price","Item No.",$B94,"Ending Date","''","Sales Code","EUR PRICE")</t>
  </si>
  <si>
    <t>=NL("Last","Item","Multiple Order Quantity","No.",$B94)</t>
  </si>
  <si>
    <t>=NL("Last","Item Cross Reference","Cross-Reference No.","Cross-Reference Type No.","EAN 13","Item No.",$B94,"unit of measure","ea")</t>
  </si>
  <si>
    <t>=NL("Last","Item Unit of Measure","Height","Item No.",$B94,"code","ea")</t>
  </si>
  <si>
    <t>=NL("Last","Item Unit of Measure","Width","Item No.",$B94,"code","ea")</t>
  </si>
  <si>
    <t>=NL("Last","Item Unit of Measure","Length","Item No.",$B94,"code","ea")</t>
  </si>
  <si>
    <t>=NL("Last","Item Unit of Measure","Weight","Item No.",$B94,"code","ea")</t>
  </si>
  <si>
    <t>=NL("Last","Item","Country/Region of Origin Code","No.",$B94)</t>
  </si>
  <si>
    <t>=NL("Last","Item","Tariff No.","No.",$B94)</t>
  </si>
  <si>
    <t>=NL("Last","Item","Description","No.",$B95)</t>
  </si>
  <si>
    <t>=NL("Last","Sales Price","Unit Price","Item No.",$B95,"Ending Date","''","Sales Code","EUR PRICE")</t>
  </si>
  <si>
    <t>=NL("Last","Item","Multiple Order Quantity","No.",$B95)</t>
  </si>
  <si>
    <t>=NL("Last","Item Cross Reference","Cross-Reference No.","Cross-Reference Type No.","EAN 13","Item No.",$B95,"unit of measure","ea")</t>
  </si>
  <si>
    <t>=NL("Last","Item Unit of Measure","Height","Item No.",$B95,"code","ea")</t>
  </si>
  <si>
    <t>=NL("Last","Item Unit of Measure","Width","Item No.",$B95,"code","ea")</t>
  </si>
  <si>
    <t>=NL("Last","Item Unit of Measure","Length","Item No.",$B95,"code","ea")</t>
  </si>
  <si>
    <t>=NL("Last","Item Unit of Measure","Weight","Item No.",$B95,"code","ea")</t>
  </si>
  <si>
    <t>=NL("Last","Item","Country/Region of Origin Code","No.",$B95)</t>
  </si>
  <si>
    <t>=NL("Last","Item","Tariff No.","No.",$B95)</t>
  </si>
  <si>
    <t>=NL("Last","Item","Description","No.",$B96)</t>
  </si>
  <si>
    <t>=NL("Last","Sales Price","Unit Price","Item No.",$B96,"Ending Date","''","Sales Code","EUR PRICE")</t>
  </si>
  <si>
    <t>=NL("Last","Item","Multiple Order Quantity","No.",$B96)</t>
  </si>
  <si>
    <t>=NL("Last","Item Cross Reference","Cross-Reference No.","Cross-Reference Type No.","EAN 13","Item No.",$B96,"unit of measure","ea")</t>
  </si>
  <si>
    <t>=NL("Last","Item Unit of Measure","Height","Item No.",$B96,"code","ea")</t>
  </si>
  <si>
    <t>=NL("Last","Item Unit of Measure","Width","Item No.",$B96,"code","ea")</t>
  </si>
  <si>
    <t>=NL("Last","Item Unit of Measure","Length","Item No.",$B96,"code","ea")</t>
  </si>
  <si>
    <t>=NL("Last","Item Unit of Measure","Weight","Item No.",$B96,"code","ea")</t>
  </si>
  <si>
    <t>=NL("Last","Item","Country/Region of Origin Code","No.",$B96)</t>
  </si>
  <si>
    <t>=NL("Last","Item","Tariff No.","No.",$B96)</t>
  </si>
  <si>
    <t>=NL("Last","Item","Description","No.",$B97)</t>
  </si>
  <si>
    <t>=NL("Last","Sales Price","Unit Price","Item No.",$B97,"Ending Date","''","Sales Code","EUR PRICE")</t>
  </si>
  <si>
    <t>=NL("Last","Item","Multiple Order Quantity","No.",$B97)</t>
  </si>
  <si>
    <t>=NL("Last","Item Cross Reference","Cross-Reference No.","Cross-Reference Type No.","EAN 13","Item No.",$B97,"unit of measure","ea")</t>
  </si>
  <si>
    <t>=NL("Last","Item Unit of Measure","Height","Item No.",$B97,"code","ea")</t>
  </si>
  <si>
    <t>=NL("Last","Item Unit of Measure","Width","Item No.",$B97,"code","ea")</t>
  </si>
  <si>
    <t>=NL("Last","Item Unit of Measure","Length","Item No.",$B97,"code","ea")</t>
  </si>
  <si>
    <t>=NL("Last","Item Unit of Measure","Weight","Item No.",$B97,"code","ea")</t>
  </si>
  <si>
    <t>=NL("Last","Item","Country/Region of Origin Code","No.",$B97)</t>
  </si>
  <si>
    <t>=NL("Last","Item","Tariff No.","No.",$B97)</t>
  </si>
  <si>
    <t>=NL("Last","Item","Description","No.",$B98)</t>
  </si>
  <si>
    <t>=NL("Last","Sales Price","Unit Price","Item No.",$B98,"Ending Date","''","Sales Code","EUR PRICE")</t>
  </si>
  <si>
    <t>=NL("Last","Item","Multiple Order Quantity","No.",$B98)</t>
  </si>
  <si>
    <t>=NL("Last","Item Cross Reference","Cross-Reference No.","Cross-Reference Type No.","EAN 13","Item No.",$B98,"unit of measure","ea")</t>
  </si>
  <si>
    <t>=NL("Last","Item Unit of Measure","Height","Item No.",$B98,"code","ea")</t>
  </si>
  <si>
    <t>=NL("Last","Item Unit of Measure","Width","Item No.",$B98,"code","ea")</t>
  </si>
  <si>
    <t>=NL("Last","Item Unit of Measure","Length","Item No.",$B98,"code","ea")</t>
  </si>
  <si>
    <t>=NL("Last","Item Unit of Measure","Weight","Item No.",$B98,"code","ea")</t>
  </si>
  <si>
    <t>=NL("Last","Item","Country/Region of Origin Code","No.",$B98)</t>
  </si>
  <si>
    <t>=NL("Last","Item","Tariff No.","No.",$B98)</t>
  </si>
  <si>
    <t>=NL("Last","Item","Description","No.",$B99)</t>
  </si>
  <si>
    <t>=NL("Last","Sales Price","Unit Price","Item No.",$B99,"Ending Date","''","Sales Code","EUR PRICE")</t>
  </si>
  <si>
    <t>=NL("Last","Item","Multiple Order Quantity","No.",$B99)</t>
  </si>
  <si>
    <t>=NL("Last","Item Cross Reference","Cross-Reference No.","Cross-Reference Type No.","EAN 13","Item No.",$B99,"unit of measure","ea")</t>
  </si>
  <si>
    <t>=NL("Last","Item Unit of Measure","Height","Item No.",$B99,"code","ea")</t>
  </si>
  <si>
    <t>=NL("Last","Item Unit of Measure","Width","Item No.",$B99,"code","ea")</t>
  </si>
  <si>
    <t>=NL("Last","Item Unit of Measure","Length","Item No.",$B99,"code","ea")</t>
  </si>
  <si>
    <t>=NL("Last","Item Unit of Measure","Weight","Item No.",$B99,"code","ea")</t>
  </si>
  <si>
    <t>=NL("Last","Item","Country/Region of Origin Code","No.",$B99)</t>
  </si>
  <si>
    <t>=NL("Last","Item","Tariff No.","No.",$B99)</t>
  </si>
  <si>
    <t>=NL("Last","Item","Description","No.",$B100)</t>
  </si>
  <si>
    <t>=NL("Last","Sales Price","Unit Price","Item No.",$B100,"Ending Date","''","Sales Code","EUR PRICE")</t>
  </si>
  <si>
    <t>=NL("Last","Item","Multiple Order Quantity","No.",$B100)</t>
  </si>
  <si>
    <t>=NL("Last","Item Cross Reference","Cross-Reference No.","Cross-Reference Type No.","EAN 13","Item No.",$B100,"unit of measure","ea")</t>
  </si>
  <si>
    <t>=NL("Last","Item Unit of Measure","Height","Item No.",$B100,"code","ea")</t>
  </si>
  <si>
    <t>=NL("Last","Item Unit of Measure","Width","Item No.",$B100,"code","ea")</t>
  </si>
  <si>
    <t>=NL("Last","Item Unit of Measure","Length","Item No.",$B100,"code","ea")</t>
  </si>
  <si>
    <t>=NL("Last","Item Unit of Measure","Weight","Item No.",$B100,"code","ea")</t>
  </si>
  <si>
    <t>=NL("Last","Item","Country/Region of Origin Code","No.",$B100)</t>
  </si>
  <si>
    <t>=NL("Last","Item","Tariff No.","No.",$B100)</t>
  </si>
  <si>
    <t>=NL("Last","Item","Description","No.",$B101)</t>
  </si>
  <si>
    <t>=NL("Last","Sales Price","Unit Price","Item No.",$B101,"Ending Date","''","Sales Code","EUR PRICE")</t>
  </si>
  <si>
    <t>=NL("Last","Item","Multiple Order Quantity","No.",$B101)</t>
  </si>
  <si>
    <t>=NL("Last","Item Cross Reference","Cross-Reference No.","Cross-Reference Type No.","EAN 13","Item No.",$B101,"unit of measure","ea")</t>
  </si>
  <si>
    <t>=NL("Last","Item Unit of Measure","Height","Item No.",$B101,"code","ea")</t>
  </si>
  <si>
    <t>=NL("Last","Item Unit of Measure","Width","Item No.",$B101,"code","ea")</t>
  </si>
  <si>
    <t>=NL("Last","Item Unit of Measure","Length","Item No.",$B101,"code","ea")</t>
  </si>
  <si>
    <t>=NL("Last","Item Unit of Measure","Weight","Item No.",$B101,"code","ea")</t>
  </si>
  <si>
    <t>=NL("Last","Item","Country/Region of Origin Code","No.",$B101)</t>
  </si>
  <si>
    <t>=NL("Last","Item","Tariff No.","No.",$B101)</t>
  </si>
  <si>
    <t>=NL("Last","Item","Description","No.",$B102)</t>
  </si>
  <si>
    <t>=NL("Last","Sales Price","Unit Price","Item No.",$B102,"Ending Date","''","Sales Code","EUR PRICE")</t>
  </si>
  <si>
    <t>=NL("Last","Item","Multiple Order Quantity","No.",$B102)</t>
  </si>
  <si>
    <t>=NL("Last","Item Cross Reference","Cross-Reference No.","Cross-Reference Type No.","EAN 13","Item No.",$B102,"unit of measure","ea")</t>
  </si>
  <si>
    <t>=NL("Last","Item Unit of Measure","Height","Item No.",$B102,"code","ea")</t>
  </si>
  <si>
    <t>=NL("Last","Item Unit of Measure","Width","Item No.",$B102,"code","ea")</t>
  </si>
  <si>
    <t>=NL("Last","Item Unit of Measure","Length","Item No.",$B102,"code","ea")</t>
  </si>
  <si>
    <t>=NL("Last","Item Unit of Measure","Weight","Item No.",$B102,"code","ea")</t>
  </si>
  <si>
    <t>=NL("Last","Item","Country/Region of Origin Code","No.",$B102)</t>
  </si>
  <si>
    <t>=NL("Last","Item","Tariff No.","No.",$B102)</t>
  </si>
  <si>
    <t>=NL("Last","Item","Description","No.",$B103)</t>
  </si>
  <si>
    <t>=NL("Last","Sales Price","Unit Price","Item No.",$B103,"Ending Date","''","Sales Code","EUR PRICE")</t>
  </si>
  <si>
    <t>=NL("Last","Item","Multiple Order Quantity","No.",$B103)</t>
  </si>
  <si>
    <t>=NL("Last","Item Cross Reference","Cross-Reference No.","Cross-Reference Type No.","EAN 13","Item No.",$B103,"unit of measure","ea")</t>
  </si>
  <si>
    <t>=NL("Last","Item Unit of Measure","Height","Item No.",$B103,"code","ea")</t>
  </si>
  <si>
    <t>=NL("Last","Item Unit of Measure","Width","Item No.",$B103,"code","ea")</t>
  </si>
  <si>
    <t>=NL("Last","Item Unit of Measure","Length","Item No.",$B103,"code","ea")</t>
  </si>
  <si>
    <t>=NL("Last","Item Unit of Measure","Weight","Item No.",$B103,"code","ea")</t>
  </si>
  <si>
    <t>=NL("Last","Item","Country/Region of Origin Code","No.",$B103)</t>
  </si>
  <si>
    <t>=NL("Last","Item","Tariff No.","No.",$B103)</t>
  </si>
  <si>
    <t>=NL("Last","Item","Description","No.",$B104)</t>
  </si>
  <si>
    <t>=NL("Last","Sales Price","Unit Price","Item No.",$B104,"Ending Date","''","Sales Code","EUR PRICE")</t>
  </si>
  <si>
    <t>=NL("Last","Item","Multiple Order Quantity","No.",$B104)</t>
  </si>
  <si>
    <t>=NL("Last","Item Cross Reference","Cross-Reference No.","Cross-Reference Type No.","EAN 13","Item No.",$B104,"unit of measure","ea")</t>
  </si>
  <si>
    <t>=NL("Last","Item Unit of Measure","Height","Item No.",$B104,"code","ea")</t>
  </si>
  <si>
    <t>=NL("Last","Item Unit of Measure","Width","Item No.",$B104,"code","ea")</t>
  </si>
  <si>
    <t>=NL("Last","Item Unit of Measure","Length","Item No.",$B104,"code","ea")</t>
  </si>
  <si>
    <t>=NL("Last","Item Unit of Measure","Weight","Item No.",$B104,"code","ea")</t>
  </si>
  <si>
    <t>=NL("Last","Item","Country/Region of Origin Code","No.",$B104)</t>
  </si>
  <si>
    <t>=NL("Last","Item","Tariff No.","No.",$B104)</t>
  </si>
  <si>
    <t>=NL("Last","Item","Description","No.",$B105)</t>
  </si>
  <si>
    <t>=NL("Last","Sales Price","Unit Price","Item No.",$B105,"Ending Date","''","Sales Code","EUR PRICE")</t>
  </si>
  <si>
    <t>=NL("Last","Item","Multiple Order Quantity","No.",$B105)</t>
  </si>
  <si>
    <t>=NL("Last","Item Cross Reference","Cross-Reference No.","Cross-Reference Type No.","EAN 13","Item No.",$B105,"unit of measure","ea")</t>
  </si>
  <si>
    <t>=NL("Last","Item Unit of Measure","Height","Item No.",$B105,"code","ea")</t>
  </si>
  <si>
    <t>=NL("Last","Item Unit of Measure","Width","Item No.",$B105,"code","ea")</t>
  </si>
  <si>
    <t>=NL("Last","Item Unit of Measure","Length","Item No.",$B105,"code","ea")</t>
  </si>
  <si>
    <t>=NL("Last","Item Unit of Measure","Weight","Item No.",$B105,"code","ea")</t>
  </si>
  <si>
    <t>=NL("Last","Item","Country/Region of Origin Code","No.",$B105)</t>
  </si>
  <si>
    <t>=NL("Last","Item","Tariff No.","No.",$B105)</t>
  </si>
  <si>
    <t>=NL("Last","Item","Description","No.",$B106)</t>
  </si>
  <si>
    <t>=NL("Last","Sales Price","Unit Price","Item No.",$B106,"Ending Date","''","Sales Code","EUR PRICE")</t>
  </si>
  <si>
    <t>=NL("Last","Item","Multiple Order Quantity","No.",$B106)</t>
  </si>
  <si>
    <t>=NL("Last","Item Cross Reference","Cross-Reference No.","Cross-Reference Type No.","EAN 13","Item No.",$B106,"unit of measure","ea")</t>
  </si>
  <si>
    <t>=NL("Last","Item Unit of Measure","Height","Item No.",$B106,"code","ea")</t>
  </si>
  <si>
    <t>=NL("Last","Item Unit of Measure","Width","Item No.",$B106,"code","ea")</t>
  </si>
  <si>
    <t>=NL("Last","Item Unit of Measure","Length","Item No.",$B106,"code","ea")</t>
  </si>
  <si>
    <t>=NL("Last","Item Unit of Measure","Weight","Item No.",$B106,"code","ea")</t>
  </si>
  <si>
    <t>=NL("Last","Item","Country/Region of Origin Code","No.",$B106)</t>
  </si>
  <si>
    <t>=NL("Last","Item","Tariff No.","No.",$B106)</t>
  </si>
  <si>
    <t>=NL("Last","Item","Description","No.",$B107)</t>
  </si>
  <si>
    <t>=NL("Last","Sales Price","Unit Price","Item No.",$B107,"Ending Date","''","Sales Code","EUR PRICE")</t>
  </si>
  <si>
    <t>=NL("Last","Item","Multiple Order Quantity","No.",$B107)</t>
  </si>
  <si>
    <t>=NL("Last","Item Cross Reference","Cross-Reference No.","Cross-Reference Type No.","EAN 13","Item No.",$B107,"unit of measure","ea")</t>
  </si>
  <si>
    <t>=NL("Last","Item Unit of Measure","Height","Item No.",$B107,"code","ea")</t>
  </si>
  <si>
    <t>=NL("Last","Item Unit of Measure","Width","Item No.",$B107,"code","ea")</t>
  </si>
  <si>
    <t>=NL("Last","Item Unit of Measure","Length","Item No.",$B107,"code","ea")</t>
  </si>
  <si>
    <t>=NL("Last","Item Unit of Measure","Weight","Item No.",$B107,"code","ea")</t>
  </si>
  <si>
    <t>=NL("Last","Item","Country/Region of Origin Code","No.",$B107)</t>
  </si>
  <si>
    <t>=NL("Last","Item","Tariff No.","No.",$B107)</t>
  </si>
  <si>
    <t>=NL("Last","Item","Description","No.",$B108)</t>
  </si>
  <si>
    <t>=NL("Last","Sales Price","Unit Price","Item No.",$B108,"Ending Date","''","Sales Code","EUR PRICE")</t>
  </si>
  <si>
    <t>=NL("Last","Item","Multiple Order Quantity","No.",$B108)</t>
  </si>
  <si>
    <t>=NL("Last","Item Cross Reference","Cross-Reference No.","Cross-Reference Type No.","EAN 13","Item No.",$B108,"unit of measure","ea")</t>
  </si>
  <si>
    <t>=NL("Last","Item Unit of Measure","Height","Item No.",$B108,"code","ea")</t>
  </si>
  <si>
    <t>=NL("Last","Item Unit of Measure","Width","Item No.",$B108,"code","ea")</t>
  </si>
  <si>
    <t>=NL("Last","Item Unit of Measure","Length","Item No.",$B108,"code","ea")</t>
  </si>
  <si>
    <t>=NL("Last","Item Unit of Measure","Weight","Item No.",$B108,"code","ea")</t>
  </si>
  <si>
    <t>=NL("Last","Item","Country/Region of Origin Code","No.",$B108)</t>
  </si>
  <si>
    <t>=NL("Last","Item","Tariff No.","No.",$B108)</t>
  </si>
  <si>
    <t>=NL("Last","Item","Description","No.",$B109)</t>
  </si>
  <si>
    <t>=NL("Last","Sales Price","Unit Price","Item No.",$B109,"Ending Date","''","Sales Code","EUR PRICE")</t>
  </si>
  <si>
    <t>=NL("Last","Item","Multiple Order Quantity","No.",$B109)</t>
  </si>
  <si>
    <t>=NL("Last","Item Cross Reference","Cross-Reference No.","Cross-Reference Type No.","EAN 13","Item No.",$B109,"unit of measure","ea")</t>
  </si>
  <si>
    <t>=NL("Last","Item Unit of Measure","Height","Item No.",$B109,"code","ea")</t>
  </si>
  <si>
    <t>=NL("Last","Item Unit of Measure","Width","Item No.",$B109,"code","ea")</t>
  </si>
  <si>
    <t>=NL("Last","Item Unit of Measure","Length","Item No.",$B109,"code","ea")</t>
  </si>
  <si>
    <t>=NL("Last","Item Unit of Measure","Weight","Item No.",$B109,"code","ea")</t>
  </si>
  <si>
    <t>=NL("Last","Item","Country/Region of Origin Code","No.",$B109)</t>
  </si>
  <si>
    <t>=NL("Last","Item","Tariff No.","No.",$B109)</t>
  </si>
  <si>
    <t>=NL("Last","Item","Description","No.",$B110)</t>
  </si>
  <si>
    <t>=NL("Last","Sales Price","Unit Price","Item No.",$B110,"Ending Date","''","Sales Code","EUR PRICE")</t>
  </si>
  <si>
    <t>=NL("Last","Item","Multiple Order Quantity","No.",$B110)</t>
  </si>
  <si>
    <t>=NL("Last","Item Cross Reference","Cross-Reference No.","Cross-Reference Type No.","EAN 13","Item No.",$B110,"unit of measure","ea")</t>
  </si>
  <si>
    <t>=NL("Last","Item Unit of Measure","Height","Item No.",$B110,"code","ea")</t>
  </si>
  <si>
    <t>=NL("Last","Item Unit of Measure","Width","Item No.",$B110,"code","ea")</t>
  </si>
  <si>
    <t>=NL("Last","Item Unit of Measure","Length","Item No.",$B110,"code","ea")</t>
  </si>
  <si>
    <t>=NL("Last","Item Unit of Measure","Weight","Item No.",$B110,"code","ea")</t>
  </si>
  <si>
    <t>=NL("Last","Item","Country/Region of Origin Code","No.",$B110)</t>
  </si>
  <si>
    <t>=NL("Last","Item","Tariff No.","No.",$B110)</t>
  </si>
  <si>
    <t>=NL("Last","Item","Description","No.",$B111)</t>
  </si>
  <si>
    <t>=NL("Last","Sales Price","Unit Price","Item No.",$B111,"Ending Date","''","Sales Code","EUR PRICE")</t>
  </si>
  <si>
    <t>=NL("Last","Item","Multiple Order Quantity","No.",$B111)</t>
  </si>
  <si>
    <t>=NL("Last","Item Cross Reference","Cross-Reference No.","Cross-Reference Type No.","EAN 13","Item No.",$B111,"unit of measure","ea")</t>
  </si>
  <si>
    <t>=NL("Last","Item Unit of Measure","Height","Item No.",$B111,"code","ea")</t>
  </si>
  <si>
    <t>=NL("Last","Item Unit of Measure","Width","Item No.",$B111,"code","ea")</t>
  </si>
  <si>
    <t>=NL("Last","Item Unit of Measure","Length","Item No.",$B111,"code","ea")</t>
  </si>
  <si>
    <t>=NL("Last","Item Unit of Measure","Weight","Item No.",$B111,"code","ea")</t>
  </si>
  <si>
    <t>=NL("Last","Item","Country/Region of Origin Code","No.",$B111)</t>
  </si>
  <si>
    <t>=NL("Last","Item","Tariff No.","No.",$B111)</t>
  </si>
  <si>
    <t>=NL("Last","Item","Description","No.",$B112)</t>
  </si>
  <si>
    <t>=NL("Last","Sales Price","Unit Price","Item No.",$B112,"Ending Date","''","Sales Code","EUR PRICE")</t>
  </si>
  <si>
    <t>=NL("Last","Item","Multiple Order Quantity","No.",$B112)</t>
  </si>
  <si>
    <t>=NL("Last","Item Cross Reference","Cross-Reference No.","Cross-Reference Type No.","EAN 13","Item No.",$B112,"unit of measure","ea")</t>
  </si>
  <si>
    <t>=NL("Last","Item Unit of Measure","Height","Item No.",$B112,"code","ea")</t>
  </si>
  <si>
    <t>=NL("Last","Item Unit of Measure","Width","Item No.",$B112,"code","ea")</t>
  </si>
  <si>
    <t>=NL("Last","Item Unit of Measure","Length","Item No.",$B112,"code","ea")</t>
  </si>
  <si>
    <t>=NL("Last","Item Unit of Measure","Weight","Item No.",$B112,"code","ea")</t>
  </si>
  <si>
    <t>=NL("Last","Item","Country/Region of Origin Code","No.",$B112)</t>
  </si>
  <si>
    <t>=NL("Last","Item","Tariff No.","No.",$B112)</t>
  </si>
  <si>
    <t>=NL("Last","Item","Description","No.",$B113)</t>
  </si>
  <si>
    <t>=NL("Last","Sales Price","Unit Price","Item No.",$B113,"Ending Date","''","Sales Code","EUR PRICE")</t>
  </si>
  <si>
    <t>=NL("Last","Item","Multiple Order Quantity","No.",$B113)</t>
  </si>
  <si>
    <t>=NL("Last","Item Cross Reference","Cross-Reference No.","Cross-Reference Type No.","EAN 13","Item No.",$B113,"unit of measure","ea")</t>
  </si>
  <si>
    <t>=NL("Last","Item Unit of Measure","Height","Item No.",$B113,"code","ea")</t>
  </si>
  <si>
    <t>=NL("Last","Item Unit of Measure","Width","Item No.",$B113,"code","ea")</t>
  </si>
  <si>
    <t>=NL("Last","Item Unit of Measure","Length","Item No.",$B113,"code","ea")</t>
  </si>
  <si>
    <t>=NL("Last","Item Unit of Measure","Weight","Item No.",$B113,"code","ea")</t>
  </si>
  <si>
    <t>=NL("Last","Item","Country/Region of Origin Code","No.",$B113)</t>
  </si>
  <si>
    <t>=NL("Last","Item","Tariff No.","No.",$B113)</t>
  </si>
  <si>
    <t>=NL("Last","Item","Description","No.",$B114)</t>
  </si>
  <si>
    <t>=NL("Last","Sales Price","Unit Price","Item No.",$B114,"Ending Date","''","Sales Code","EUR PRICE")</t>
  </si>
  <si>
    <t>=NL("Last","Item","Multiple Order Quantity","No.",$B114)</t>
  </si>
  <si>
    <t>=NL("Last","Item Cross Reference","Cross-Reference No.","Cross-Reference Type No.","EAN 13","Item No.",$B114,"unit of measure","ea")</t>
  </si>
  <si>
    <t>=NL("Last","Item Unit of Measure","Height","Item No.",$B114,"code","ea")</t>
  </si>
  <si>
    <t>=NL("Last","Item Unit of Measure","Width","Item No.",$B114,"code","ea")</t>
  </si>
  <si>
    <t>=NL("Last","Item Unit of Measure","Length","Item No.",$B114,"code","ea")</t>
  </si>
  <si>
    <t>=NL("Last","Item Unit of Measure","Weight","Item No.",$B114,"code","ea")</t>
  </si>
  <si>
    <t>=NL("Last","Item","Country/Region of Origin Code","No.",$B114)</t>
  </si>
  <si>
    <t>=NL("Last","Item","Tariff No.","No.",$B114)</t>
  </si>
  <si>
    <t>=NL("Last","Item","Description","No.",$B115)</t>
  </si>
  <si>
    <t>=NL("Last","Sales Price","Unit Price","Item No.",$B115,"Ending Date","''","Sales Code","EUR PRICE")</t>
  </si>
  <si>
    <t>=NL("Last","Item","Multiple Order Quantity","No.",$B115)</t>
  </si>
  <si>
    <t>=NL("Last","Item Cross Reference","Cross-Reference No.","Cross-Reference Type No.","EAN 13","Item No.",$B115,"unit of measure","ea")</t>
  </si>
  <si>
    <t>=NL("Last","Item Unit of Measure","Height","Item No.",$B115,"code","ea")</t>
  </si>
  <si>
    <t>=NL("Last","Item Unit of Measure","Width","Item No.",$B115,"code","ea")</t>
  </si>
  <si>
    <t>=NL("Last","Item Unit of Measure","Length","Item No.",$B115,"code","ea")</t>
  </si>
  <si>
    <t>=NL("Last","Item Unit of Measure","Weight","Item No.",$B115,"code","ea")</t>
  </si>
  <si>
    <t>=NL("Last","Item","Country/Region of Origin Code","No.",$B115)</t>
  </si>
  <si>
    <t>=NL("Last","Item","Tariff No.","No.",$B115)</t>
  </si>
  <si>
    <t>=NL("Last","Item","Description","No.",$B116)</t>
  </si>
  <si>
    <t>=NL("Last","Sales Price","Unit Price","Item No.",$B116,"Ending Date","''","Sales Code","EUR PRICE")</t>
  </si>
  <si>
    <t>=NL("Last","Item","Multiple Order Quantity","No.",$B116)</t>
  </si>
  <si>
    <t>=NL("Last","Item Cross Reference","Cross-Reference No.","Cross-Reference Type No.","EAN 13","Item No.",$B116,"unit of measure","ea")</t>
  </si>
  <si>
    <t>=NL("Last","Item Unit of Measure","Height","Item No.",$B116,"code","ea")</t>
  </si>
  <si>
    <t>=NL("Last","Item Unit of Measure","Width","Item No.",$B116,"code","ea")</t>
  </si>
  <si>
    <t>=NL("Last","Item Unit of Measure","Length","Item No.",$B116,"code","ea")</t>
  </si>
  <si>
    <t>=NL("Last","Item Unit of Measure","Weight","Item No.",$B116,"code","ea")</t>
  </si>
  <si>
    <t>=NL("Last","Item","Country/Region of Origin Code","No.",$B116)</t>
  </si>
  <si>
    <t>=NL("Last","Item","Tariff No.","No.",$B116)</t>
  </si>
  <si>
    <t>=NL("Last","Item","Description","No.",$B117)</t>
  </si>
  <si>
    <t>=NL("Last","Sales Price","Unit Price","Item No.",$B117,"Ending Date","''","Sales Code","EUR PRICE")</t>
  </si>
  <si>
    <t>=NL("Last","Item","Multiple Order Quantity","No.",$B117)</t>
  </si>
  <si>
    <t>=NL("Last","Item Cross Reference","Cross-Reference No.","Cross-Reference Type No.","EAN 13","Item No.",$B117,"unit of measure","ea")</t>
  </si>
  <si>
    <t>=NL("Last","Item Unit of Measure","Height","Item No.",$B117,"code","ea")</t>
  </si>
  <si>
    <t>=NL("Last","Item Unit of Measure","Width","Item No.",$B117,"code","ea")</t>
  </si>
  <si>
    <t>=NL("Last","Item Unit of Measure","Length","Item No.",$B117,"code","ea")</t>
  </si>
  <si>
    <t>=NL("Last","Item Unit of Measure","Weight","Item No.",$B117,"code","ea")</t>
  </si>
  <si>
    <t>=NL("Last","Item","Country/Region of Origin Code","No.",$B117)</t>
  </si>
  <si>
    <t>=NL("Last","Item","Tariff No.","No.",$B117)</t>
  </si>
  <si>
    <t>=NL("Last","Item","Description","No.",$B118)</t>
  </si>
  <si>
    <t>=NL("Last","Sales Price","Unit Price","Item No.",$B118,"Ending Date","''","Sales Code","EUR PRICE")</t>
  </si>
  <si>
    <t>=NL("Last","Item","Multiple Order Quantity","No.",$B118)</t>
  </si>
  <si>
    <t>=NL("Last","Item Cross Reference","Cross-Reference No.","Cross-Reference Type No.","EAN 13","Item No.",$B118,"unit of measure","ea")</t>
  </si>
  <si>
    <t>=NL("Last","Item Unit of Measure","Height","Item No.",$B118,"code","ea")</t>
  </si>
  <si>
    <t>=NL("Last","Item Unit of Measure","Width","Item No.",$B118,"code","ea")</t>
  </si>
  <si>
    <t>=NL("Last","Item Unit of Measure","Length","Item No.",$B118,"code","ea")</t>
  </si>
  <si>
    <t>=NL("Last","Item Unit of Measure","Weight","Item No.",$B118,"code","ea")</t>
  </si>
  <si>
    <t>=NL("Last","Item","Country/Region of Origin Code","No.",$B118)</t>
  </si>
  <si>
    <t>=NL("Last","Item","Tariff No.","No.",$B118)</t>
  </si>
  <si>
    <t>=NL("Last","Item","Description","No.",$B119)</t>
  </si>
  <si>
    <t>=NL("Last","Sales Price","Unit Price","Item No.",$B119,"Ending Date","''","Sales Code","EUR PRICE")</t>
  </si>
  <si>
    <t>=NL("Last","Item","Multiple Order Quantity","No.",$B119)</t>
  </si>
  <si>
    <t>=NL("Last","Item Cross Reference","Cross-Reference No.","Cross-Reference Type No.","EAN 13","Item No.",$B119,"unit of measure","ea")</t>
  </si>
  <si>
    <t>=NL("Last","Item Unit of Measure","Height","Item No.",$B119,"code","ea")</t>
  </si>
  <si>
    <t>=NL("Last","Item Unit of Measure","Width","Item No.",$B119,"code","ea")</t>
  </si>
  <si>
    <t>=NL("Last","Item Unit of Measure","Length","Item No.",$B119,"code","ea")</t>
  </si>
  <si>
    <t>=NL("Last","Item Unit of Measure","Weight","Item No.",$B119,"code","ea")</t>
  </si>
  <si>
    <t>=NL("Last","Item","Country/Region of Origin Code","No.",$B119)</t>
  </si>
  <si>
    <t>=NL("Last","Item","Tariff No.","No.",$B119)</t>
  </si>
  <si>
    <t>=NL("Last","Item","Description","No.",$B120)</t>
  </si>
  <si>
    <t>=NL("Last","Sales Price","Unit Price","Item No.",$B120,"Ending Date","''","Sales Code","EUR PRICE")</t>
  </si>
  <si>
    <t>=NL("Last","Item","Multiple Order Quantity","No.",$B120)</t>
  </si>
  <si>
    <t>=NL("Last","Item Cross Reference","Cross-Reference No.","Cross-Reference Type No.","EAN 13","Item No.",$B120,"unit of measure","ea")</t>
  </si>
  <si>
    <t>=NL("Last","Item Unit of Measure","Height","Item No.",$B120,"code","ea")</t>
  </si>
  <si>
    <t>=NL("Last","Item Unit of Measure","Width","Item No.",$B120,"code","ea")</t>
  </si>
  <si>
    <t>=NL("Last","Item Unit of Measure","Length","Item No.",$B120,"code","ea")</t>
  </si>
  <si>
    <t>=NL("Last","Item Unit of Measure","Weight","Item No.",$B120,"code","ea")</t>
  </si>
  <si>
    <t>=NL("Last","Item","Country/Region of Origin Code","No.",$B120)</t>
  </si>
  <si>
    <t>=NL("Last","Item","Tariff No.","No.",$B120)</t>
  </si>
  <si>
    <t>=NL("Last","Item","Description","No.",$B121)</t>
  </si>
  <si>
    <t>=NL("Last","Sales Price","Unit Price","Item No.",$B121,"Ending Date","''","Sales Code","EUR PRICE")</t>
  </si>
  <si>
    <t>=NL("Last","Item","Multiple Order Quantity","No.",$B121)</t>
  </si>
  <si>
    <t>=NL("Last","Item Cross Reference","Cross-Reference No.","Cross-Reference Type No.","EAN 13","Item No.",$B121,"unit of measure","ea")</t>
  </si>
  <si>
    <t>=NL("Last","Item Unit of Measure","Height","Item No.",$B121,"code","ea")</t>
  </si>
  <si>
    <t>=NL("Last","Item Unit of Measure","Width","Item No.",$B121,"code","ea")</t>
  </si>
  <si>
    <t>=NL("Last","Item Unit of Measure","Length","Item No.",$B121,"code","ea")</t>
  </si>
  <si>
    <t>=NL("Last","Item Unit of Measure","Weight","Item No.",$B121,"code","ea")</t>
  </si>
  <si>
    <t>=NL("Last","Item","Country/Region of Origin Code","No.",$B121)</t>
  </si>
  <si>
    <t>=NL("Last","Item","Tariff No.","No.",$B121)</t>
  </si>
  <si>
    <t>=NL("Last","Item","Description","No.",$B122)</t>
  </si>
  <si>
    <t>=NL("Last","Sales Price","Unit Price","Item No.",$B122,"Ending Date","''","Sales Code","EUR PRICE")</t>
  </si>
  <si>
    <t>=NL("Last","Item","Multiple Order Quantity","No.",$B122)</t>
  </si>
  <si>
    <t>=NL("Last","Item Cross Reference","Cross-Reference No.","Cross-Reference Type No.","EAN 13","Item No.",$B122,"unit of measure","ea")</t>
  </si>
  <si>
    <t>=NL("Last","Item Unit of Measure","Height","Item No.",$B122,"code","ea")</t>
  </si>
  <si>
    <t>=NL("Last","Item Unit of Measure","Width","Item No.",$B122,"code","ea")</t>
  </si>
  <si>
    <t>=NL("Last","Item Unit of Measure","Length","Item No.",$B122,"code","ea")</t>
  </si>
  <si>
    <t>=NL("Last","Item Unit of Measure","Weight","Item No.",$B122,"code","ea")</t>
  </si>
  <si>
    <t>=NL("Last","Item","Country/Region of Origin Code","No.",$B122)</t>
  </si>
  <si>
    <t>=NL("Last","Item","Tariff No.","No.",$B122)</t>
  </si>
  <si>
    <t>=NL("Last","Item","Description","No.",$B123)</t>
  </si>
  <si>
    <t>=NL("Last","Sales Price","Unit Price","Item No.",$B123,"Ending Date","''","Sales Code","EUR PRICE")</t>
  </si>
  <si>
    <t>=NL("Last","Item","Multiple Order Quantity","No.",$B123)</t>
  </si>
  <si>
    <t>=NL("Last","Item Cross Reference","Cross-Reference No.","Cross-Reference Type No.","EAN 13","Item No.",$B123,"unit of measure","ea")</t>
  </si>
  <si>
    <t>=NL("Last","Item Unit of Measure","Height","Item No.",$B123,"code","ea")</t>
  </si>
  <si>
    <t>=NL("Last","Item Unit of Measure","Width","Item No.",$B123,"code","ea")</t>
  </si>
  <si>
    <t>=NL("Last","Item Unit of Measure","Length","Item No.",$B123,"code","ea")</t>
  </si>
  <si>
    <t>=NL("Last","Item Unit of Measure","Weight","Item No.",$B123,"code","ea")</t>
  </si>
  <si>
    <t>=NL("Last","Item","Country/Region of Origin Code","No.",$B123)</t>
  </si>
  <si>
    <t>=NL("Last","Item","Tariff No.","No.",$B123)</t>
  </si>
  <si>
    <t>=NL("Last","Item","Description","No.",$B124)</t>
  </si>
  <si>
    <t>=NL("Last","Sales Price","Unit Price","Item No.",$B124,"Ending Date","''","Sales Code","EUR PRICE")</t>
  </si>
  <si>
    <t>=NL("Last","Item","Multiple Order Quantity","No.",$B124)</t>
  </si>
  <si>
    <t>=NL("Last","Item Cross Reference","Cross-Reference No.","Cross-Reference Type No.","EAN 13","Item No.",$B124,"unit of measure","ea")</t>
  </si>
  <si>
    <t>=NL("Last","Item Unit of Measure","Height","Item No.",$B124,"code","ea")</t>
  </si>
  <si>
    <t>=NL("Last","Item Unit of Measure","Width","Item No.",$B124,"code","ea")</t>
  </si>
  <si>
    <t>=NL("Last","Item Unit of Measure","Length","Item No.",$B124,"code","ea")</t>
  </si>
  <si>
    <t>=NL("Last","Item Unit of Measure","Weight","Item No.",$B124,"code","ea")</t>
  </si>
  <si>
    <t>=NL("Last","Item","Country/Region of Origin Code","No.",$B124)</t>
  </si>
  <si>
    <t>=NL("Last","Item","Tariff No.","No.",$B124)</t>
  </si>
  <si>
    <t>=NL("Last","Item","Description","No.",$B125)</t>
  </si>
  <si>
    <t>=NL("Last","Sales Price","Unit Price","Item No.",$B125,"Ending Date","''","Sales Code","EUR PRICE")</t>
  </si>
  <si>
    <t>=NL("Last","Item","Multiple Order Quantity","No.",$B125)</t>
  </si>
  <si>
    <t>=NL("Last","Item Cross Reference","Cross-Reference No.","Cross-Reference Type No.","EAN 13","Item No.",$B125,"unit of measure","ea")</t>
  </si>
  <si>
    <t>=NL("Last","Item Unit of Measure","Height","Item No.",$B125,"code","ea")</t>
  </si>
  <si>
    <t>=NL("Last","Item Unit of Measure","Width","Item No.",$B125,"code","ea")</t>
  </si>
  <si>
    <t>=NL("Last","Item Unit of Measure","Length","Item No.",$B125,"code","ea")</t>
  </si>
  <si>
    <t>=NL("Last","Item Unit of Measure","Weight","Item No.",$B125,"code","ea")</t>
  </si>
  <si>
    <t>=NL("Last","Item","Country/Region of Origin Code","No.",$B125)</t>
  </si>
  <si>
    <t>=NL("Last","Item","Tariff No.","No.",$B125)</t>
  </si>
  <si>
    <t>=NL("Last","Item","Description","No.",$B126)</t>
  </si>
  <si>
    <t>=NL("Last","Sales Price","Unit Price","Item No.",$B126,"Ending Date","''","Sales Code","EUR PRICE")</t>
  </si>
  <si>
    <t>=NL("Last","Item","Multiple Order Quantity","No.",$B126)</t>
  </si>
  <si>
    <t>=NL("Last","Item Cross Reference","Cross-Reference No.","Cross-Reference Type No.","EAN 13","Item No.",$B126,"unit of measure","ea")</t>
  </si>
  <si>
    <t>=NL("Last","Item Unit of Measure","Height","Item No.",$B126,"code","ea")</t>
  </si>
  <si>
    <t>=NL("Last","Item Unit of Measure","Width","Item No.",$B126,"code","ea")</t>
  </si>
  <si>
    <t>=NL("Last","Item Unit of Measure","Length","Item No.",$B126,"code","ea")</t>
  </si>
  <si>
    <t>=NL("Last","Item Unit of Measure","Weight","Item No.",$B126,"code","ea")</t>
  </si>
  <si>
    <t>=NL("Last","Item","Country/Region of Origin Code","No.",$B126)</t>
  </si>
  <si>
    <t>=NL("Last","Item","Tariff No.","No.",$B126)</t>
  </si>
  <si>
    <t>=NL("Last","Item","Description","No.",$B127)</t>
  </si>
  <si>
    <t>=NL("Last","Sales Price","Unit Price","Item No.",$B127,"Ending Date","''","Sales Code","EUR PRICE")</t>
  </si>
  <si>
    <t>=NL("Last","Item","Multiple Order Quantity","No.",$B127)</t>
  </si>
  <si>
    <t>=NL("Last","Item Cross Reference","Cross-Reference No.","Cross-Reference Type No.","EAN 13","Item No.",$B127,"unit of measure","ea")</t>
  </si>
  <si>
    <t>=NL("Last","Item Unit of Measure","Height","Item No.",$B127,"code","ea")</t>
  </si>
  <si>
    <t>=NL("Last","Item Unit of Measure","Width","Item No.",$B127,"code","ea")</t>
  </si>
  <si>
    <t>=NL("Last","Item Unit of Measure","Length","Item No.",$B127,"code","ea")</t>
  </si>
  <si>
    <t>=NL("Last","Item Unit of Measure","Weight","Item No.",$B127,"code","ea")</t>
  </si>
  <si>
    <t>=NL("Last","Item","Country/Region of Origin Code","No.",$B127)</t>
  </si>
  <si>
    <t>=NL("Last","Item","Tariff No.","No.",$B127)</t>
  </si>
  <si>
    <t>=NL("Last","Item","Description","No.",$B128)</t>
  </si>
  <si>
    <t>=NL("Last","Sales Price","Unit Price","Item No.",$B128,"Ending Date","''","Sales Code","EUR PRICE")</t>
  </si>
  <si>
    <t>=NL("Last","Item","Multiple Order Quantity","No.",$B128)</t>
  </si>
  <si>
    <t>=NL("Last","Item Cross Reference","Cross-Reference No.","Cross-Reference Type No.","EAN 13","Item No.",$B128,"unit of measure","ea")</t>
  </si>
  <si>
    <t>=NL("Last","Item Unit of Measure","Height","Item No.",$B128,"code","ea")</t>
  </si>
  <si>
    <t>=NL("Last","Item Unit of Measure","Width","Item No.",$B128,"code","ea")</t>
  </si>
  <si>
    <t>=NL("Last","Item Unit of Measure","Length","Item No.",$B128,"code","ea")</t>
  </si>
  <si>
    <t>=NL("Last","Item Unit of Measure","Weight","Item No.",$B128,"code","ea")</t>
  </si>
  <si>
    <t>=NL("Last","Item","Country/Region of Origin Code","No.",$B128)</t>
  </si>
  <si>
    <t>=NL("Last","Item","Tariff No.","No.",$B128)</t>
  </si>
  <si>
    <t>=NL("Last","Item","Description","No.",$B129)</t>
  </si>
  <si>
    <t>=NL("Last","Sales Price","Unit Price","Item No.",$B129,"Ending Date","''","Sales Code","EUR PRICE")</t>
  </si>
  <si>
    <t>=NL("Last","Item","Multiple Order Quantity","No.",$B129)</t>
  </si>
  <si>
    <t>=NL("Last","Item Cross Reference","Cross-Reference No.","Cross-Reference Type No.","EAN 13","Item No.",$B129,"unit of measure","ea")</t>
  </si>
  <si>
    <t>=NL("Last","Item Unit of Measure","Height","Item No.",$B129,"code","ea")</t>
  </si>
  <si>
    <t>=NL("Last","Item Unit of Measure","Width","Item No.",$B129,"code","ea")</t>
  </si>
  <si>
    <t>=NL("Last","Item Unit of Measure","Length","Item No.",$B129,"code","ea")</t>
  </si>
  <si>
    <t>=NL("Last","Item Unit of Measure","Weight","Item No.",$B129,"code","ea")</t>
  </si>
  <si>
    <t>=NL("Last","Item","Country/Region of Origin Code","No.",$B129)</t>
  </si>
  <si>
    <t>=NL("Last","Item","Tariff No.","No.",$B129)</t>
  </si>
  <si>
    <t>=NL("Last","Item","Description","No.",$B130)</t>
  </si>
  <si>
    <t>=NL("Last","Sales Price","Unit Price","Item No.",$B130,"Ending Date","''","Sales Code","EUR PRICE")</t>
  </si>
  <si>
    <t>=NL("Last","Item","Multiple Order Quantity","No.",$B130)</t>
  </si>
  <si>
    <t>=NL("Last","Item Cross Reference","Cross-Reference No.","Cross-Reference Type No.","EAN 13","Item No.",$B130,"unit of measure","ea")</t>
  </si>
  <si>
    <t>=NL("Last","Item Unit of Measure","Height","Item No.",$B130,"code","ea")</t>
  </si>
  <si>
    <t>=NL("Last","Item Unit of Measure","Width","Item No.",$B130,"code","ea")</t>
  </si>
  <si>
    <t>=NL("Last","Item Unit of Measure","Length","Item No.",$B130,"code","ea")</t>
  </si>
  <si>
    <t>=NL("Last","Item Unit of Measure","Weight","Item No.",$B130,"code","ea")</t>
  </si>
  <si>
    <t>=NL("Last","Item","Country/Region of Origin Code","No.",$B130)</t>
  </si>
  <si>
    <t>=NL("Last","Item","Tariff No.","No.",$B130)</t>
  </si>
  <si>
    <t>=NL("Last","Item","Description","No.",$B131)</t>
  </si>
  <si>
    <t>=NL("Last","Sales Price","Unit Price","Item No.",$B131,"Ending Date","''","Sales Code","EUR PRICE")</t>
  </si>
  <si>
    <t>=NL("Last","Item","Multiple Order Quantity","No.",$B131)</t>
  </si>
  <si>
    <t>=NL("Last","Item Cross Reference","Cross-Reference No.","Cross-Reference Type No.","EAN 13","Item No.",$B131,"unit of measure","ea")</t>
  </si>
  <si>
    <t>=NL("Last","Item Unit of Measure","Height","Item No.",$B131,"code","ea")</t>
  </si>
  <si>
    <t>=NL("Last","Item Unit of Measure","Width","Item No.",$B131,"code","ea")</t>
  </si>
  <si>
    <t>=NL("Last","Item Unit of Measure","Length","Item No.",$B131,"code","ea")</t>
  </si>
  <si>
    <t>=NL("Last","Item Unit of Measure","Weight","Item No.",$B131,"code","ea")</t>
  </si>
  <si>
    <t>=NL("Last","Item","Country/Region of Origin Code","No.",$B131)</t>
  </si>
  <si>
    <t>=NL("Last","Item","Tariff No.","No.",$B131)</t>
  </si>
  <si>
    <t>=NL("Last","Item","Description","No.",$B132)</t>
  </si>
  <si>
    <t>=NL("Last","Sales Price","Unit Price","Item No.",$B132,"Ending Date","''","Sales Code","EUR PRICE")</t>
  </si>
  <si>
    <t>=NL("Last","Item","Multiple Order Quantity","No.",$B132)</t>
  </si>
  <si>
    <t>=NL("Last","Item Cross Reference","Cross-Reference No.","Cross-Reference Type No.","EAN 13","Item No.",$B132,"unit of measure","ea")</t>
  </si>
  <si>
    <t>=NL("Last","Item Unit of Measure","Height","Item No.",$B132,"code","ea")</t>
  </si>
  <si>
    <t>=NL("Last","Item Unit of Measure","Width","Item No.",$B132,"code","ea")</t>
  </si>
  <si>
    <t>=NL("Last","Item Unit of Measure","Length","Item No.",$B132,"code","ea")</t>
  </si>
  <si>
    <t>=NL("Last","Item Unit of Measure","Weight","Item No.",$B132,"code","ea")</t>
  </si>
  <si>
    <t>=NL("Last","Item","Country/Region of Origin Code","No.",$B132)</t>
  </si>
  <si>
    <t>=NL("Last","Item","Tariff No.","No.",$B132)</t>
  </si>
  <si>
    <t>=NL("Last","Item","Description","No.",$B133)</t>
  </si>
  <si>
    <t>=NL("Last","Sales Price","Unit Price","Item No.",$B133,"Ending Date","''","Sales Code","EUR PRICE")</t>
  </si>
  <si>
    <t>=NL("Last","Item","Multiple Order Quantity","No.",$B133)</t>
  </si>
  <si>
    <t>=NL("Last","Item Cross Reference","Cross-Reference No.","Cross-Reference Type No.","EAN 13","Item No.",$B133,"unit of measure","ea")</t>
  </si>
  <si>
    <t>=NL("Last","Item Unit of Measure","Height","Item No.",$B133,"code","ea")</t>
  </si>
  <si>
    <t>=NL("Last","Item Unit of Measure","Width","Item No.",$B133,"code","ea")</t>
  </si>
  <si>
    <t>=NL("Last","Item Unit of Measure","Length","Item No.",$B133,"code","ea")</t>
  </si>
  <si>
    <t>=NL("Last","Item Unit of Measure","Weight","Item No.",$B133,"code","ea")</t>
  </si>
  <si>
    <t>=NL("Last","Item","Country/Region of Origin Code","No.",$B133)</t>
  </si>
  <si>
    <t>=NL("Last","Item","Tariff No.","No.",$B133)</t>
  </si>
  <si>
    <t>=NL("Last","Item","Description","No.",$B134)</t>
  </si>
  <si>
    <t>=NL("Last","Sales Price","Unit Price","Item No.",$B134,"Ending Date","''","Sales Code","EUR PRICE")</t>
  </si>
  <si>
    <t>=NL("Last","Item","Multiple Order Quantity","No.",$B134)</t>
  </si>
  <si>
    <t>=NL("Last","Item Cross Reference","Cross-Reference No.","Cross-Reference Type No.","EAN 13","Item No.",$B134,"unit of measure","ea")</t>
  </si>
  <si>
    <t>=NL("Last","Item Unit of Measure","Height","Item No.",$B134,"code","ea")</t>
  </si>
  <si>
    <t>=NL("Last","Item Unit of Measure","Width","Item No.",$B134,"code","ea")</t>
  </si>
  <si>
    <t>=NL("Last","Item Unit of Measure","Length","Item No.",$B134,"code","ea")</t>
  </si>
  <si>
    <t>=NL("Last","Item Unit of Measure","Weight","Item No.",$B134,"code","ea")</t>
  </si>
  <si>
    <t>=NL("Last","Item","Country/Region of Origin Code","No.",$B134)</t>
  </si>
  <si>
    <t>=NL("Last","Item","Tariff No.","No.",$B134)</t>
  </si>
  <si>
    <t>=NL("Last","Item","Description","No.",$B135)</t>
  </si>
  <si>
    <t>=NL("Last","Sales Price","Unit Price","Item No.",$B135,"Ending Date","''","Sales Code","EUR PRICE")</t>
  </si>
  <si>
    <t>=NL("Last","Item","Multiple Order Quantity","No.",$B135)</t>
  </si>
  <si>
    <t>=NL("Last","Item Cross Reference","Cross-Reference No.","Cross-Reference Type No.","EAN 13","Item No.",$B135,"unit of measure","ea")</t>
  </si>
  <si>
    <t>=NL("Last","Item Unit of Measure","Height","Item No.",$B135,"code","ea")</t>
  </si>
  <si>
    <t>=NL("Last","Item Unit of Measure","Width","Item No.",$B135,"code","ea")</t>
  </si>
  <si>
    <t>=NL("Last","Item Unit of Measure","Length","Item No.",$B135,"code","ea")</t>
  </si>
  <si>
    <t>=NL("Last","Item Unit of Measure","Weight","Item No.",$B135,"code","ea")</t>
  </si>
  <si>
    <t>=NL("Last","Item","Country/Region of Origin Code","No.",$B135)</t>
  </si>
  <si>
    <t>=NL("Last","Item","Tariff No.","No.",$B135)</t>
  </si>
  <si>
    <t>=NL("Last","Item","Description","No.",$B136)</t>
  </si>
  <si>
    <t>=NL("Last","Sales Price","Unit Price","Item No.",$B136,"Ending Date","''","Sales Code","EUR PRICE")</t>
  </si>
  <si>
    <t>=NL("Last","Item","Multiple Order Quantity","No.",$B136)</t>
  </si>
  <si>
    <t>=NL("Last","Item Cross Reference","Cross-Reference No.","Cross-Reference Type No.","EAN 13","Item No.",$B136,"unit of measure","ea")</t>
  </si>
  <si>
    <t>=NL("Last","Item Unit of Measure","Height","Item No.",$B136,"code","ea")</t>
  </si>
  <si>
    <t>=NL("Last","Item Unit of Measure","Width","Item No.",$B136,"code","ea")</t>
  </si>
  <si>
    <t>=NL("Last","Item Unit of Measure","Length","Item No.",$B136,"code","ea")</t>
  </si>
  <si>
    <t>=NL("Last","Item Unit of Measure","Weight","Item No.",$B136,"code","ea")</t>
  </si>
  <si>
    <t>=NL("Last","Item","Country/Region of Origin Code","No.",$B136)</t>
  </si>
  <si>
    <t>=NL("Last","Item","Tariff No.","No.",$B136)</t>
  </si>
  <si>
    <t>=NL("Last","Item","Description","No.",$B137)</t>
  </si>
  <si>
    <t>=NL("Last","Sales Price","Unit Price","Item No.",$B137,"Ending Date","''","Sales Code","EUR PRICE")</t>
  </si>
  <si>
    <t>=NL("Last","Item","Multiple Order Quantity","No.",$B137)</t>
  </si>
  <si>
    <t>=NL("Last","Item Cross Reference","Cross-Reference No.","Cross-Reference Type No.","EAN 13","Item No.",$B137,"unit of measure","ea")</t>
  </si>
  <si>
    <t>=NL("Last","Item Unit of Measure","Height","Item No.",$B137,"code","ea")</t>
  </si>
  <si>
    <t>=NL("Last","Item Unit of Measure","Width","Item No.",$B137,"code","ea")</t>
  </si>
  <si>
    <t>=NL("Last","Item Unit of Measure","Length","Item No.",$B137,"code","ea")</t>
  </si>
  <si>
    <t>=NL("Last","Item Unit of Measure","Weight","Item No.",$B137,"code","ea")</t>
  </si>
  <si>
    <t>=NL("Last","Item","Country/Region of Origin Code","No.",$B137)</t>
  </si>
  <si>
    <t>=NL("Last","Item","Tariff No.","No.",$B137)</t>
  </si>
  <si>
    <t>=NL("Last","Item","Description","No.",$B138)</t>
  </si>
  <si>
    <t>=NL("Last","Sales Price","Unit Price","Item No.",$B138,"Ending Date","''","Sales Code","EUR PRICE")</t>
  </si>
  <si>
    <t>=NL("Last","Item","Multiple Order Quantity","No.",$B138)</t>
  </si>
  <si>
    <t>=NL("Last","Item Cross Reference","Cross-Reference No.","Cross-Reference Type No.","EAN 13","Item No.",$B138,"unit of measure","ea")</t>
  </si>
  <si>
    <t>=NL("Last","Item Unit of Measure","Height","Item No.",$B138,"code","ea")</t>
  </si>
  <si>
    <t>=NL("Last","Item Unit of Measure","Width","Item No.",$B138,"code","ea")</t>
  </si>
  <si>
    <t>=NL("Last","Item Unit of Measure","Length","Item No.",$B138,"code","ea")</t>
  </si>
  <si>
    <t>=NL("Last","Item Unit of Measure","Weight","Item No.",$B138,"code","ea")</t>
  </si>
  <si>
    <t>=NL("Last","Item","Country/Region of Origin Code","No.",$B138)</t>
  </si>
  <si>
    <t>=NL("Last","Item","Tariff No.","No.",$B138)</t>
  </si>
  <si>
    <t>=NL("Last","Item","Description","No.",$B139)</t>
  </si>
  <si>
    <t>=NL("Last","Sales Price","Unit Price","Item No.",$B139,"Ending Date","''","Sales Code","EUR PRICE")</t>
  </si>
  <si>
    <t>=NL("Last","Item","Multiple Order Quantity","No.",$B139)</t>
  </si>
  <si>
    <t>=NL("Last","Item Cross Reference","Cross-Reference No.","Cross-Reference Type No.","EAN 13","Item No.",$B139,"unit of measure","ea")</t>
  </si>
  <si>
    <t>=NL("Last","Item Unit of Measure","Height","Item No.",$B139,"code","ea")</t>
  </si>
  <si>
    <t>=NL("Last","Item Unit of Measure","Width","Item No.",$B139,"code","ea")</t>
  </si>
  <si>
    <t>=NL("Last","Item Unit of Measure","Length","Item No.",$B139,"code","ea")</t>
  </si>
  <si>
    <t>=NL("Last","Item Unit of Measure","Weight","Item No.",$B139,"code","ea")</t>
  </si>
  <si>
    <t>=NL("Last","Item","Country/Region of Origin Code","No.",$B139)</t>
  </si>
  <si>
    <t>=NL("Last","Item","Tariff No.","No.",$B139)</t>
  </si>
  <si>
    <t>=NL("Last","Item","Description","No.",$B140)</t>
  </si>
  <si>
    <t>=NL("Last","Sales Price","Unit Price","Item No.",$B140,"Ending Date","''","Sales Code","EUR PRICE")</t>
  </si>
  <si>
    <t>=NL("Last","Item","Multiple Order Quantity","No.",$B140)</t>
  </si>
  <si>
    <t>=NL("Last","Item Cross Reference","Cross-Reference No.","Cross-Reference Type No.","EAN 13","Item No.",$B140,"unit of measure","ea")</t>
  </si>
  <si>
    <t>=NL("Last","Item Unit of Measure","Height","Item No.",$B140,"code","ea")</t>
  </si>
  <si>
    <t>=NL("Last","Item Unit of Measure","Width","Item No.",$B140,"code","ea")</t>
  </si>
  <si>
    <t>=NL("Last","Item Unit of Measure","Length","Item No.",$B140,"code","ea")</t>
  </si>
  <si>
    <t>=NL("Last","Item Unit of Measure","Weight","Item No.",$B140,"code","ea")</t>
  </si>
  <si>
    <t>=NL("Last","Item","Country/Region of Origin Code","No.",$B140)</t>
  </si>
  <si>
    <t>=NL("Last","Item","Tariff No.","No.",$B140)</t>
  </si>
  <si>
    <t>=NL("Last","Item","Description","No.",$B141)</t>
  </si>
  <si>
    <t>=NL("Last","Sales Price","Unit Price","Item No.",$B141,"Ending Date","''","Sales Code","EUR PRICE")</t>
  </si>
  <si>
    <t>=NL("Last","Item","Multiple Order Quantity","No.",$B141)</t>
  </si>
  <si>
    <t>=NL("Last","Item Cross Reference","Cross-Reference No.","Cross-Reference Type No.","EAN 13","Item No.",$B141,"unit of measure","ea")</t>
  </si>
  <si>
    <t>=NL("Last","Item Unit of Measure","Height","Item No.",$B141,"code","ea")</t>
  </si>
  <si>
    <t>=NL("Last","Item Unit of Measure","Width","Item No.",$B141,"code","ea")</t>
  </si>
  <si>
    <t>=NL("Last","Item Unit of Measure","Length","Item No.",$B141,"code","ea")</t>
  </si>
  <si>
    <t>=NL("Last","Item Unit of Measure","Weight","Item No.",$B141,"code","ea")</t>
  </si>
  <si>
    <t>=NL("Last","Item","Country/Region of Origin Code","No.",$B141)</t>
  </si>
  <si>
    <t>=NL("Last","Item","Tariff No.","No.",$B141)</t>
  </si>
  <si>
    <t>=NL("Last","Item","Description","No.",$B142)</t>
  </si>
  <si>
    <t>=NL("Last","Sales Price","Unit Price","Item No.",$B142,"Ending Date","''","Sales Code","EUR PRICE")</t>
  </si>
  <si>
    <t>=NL("Last","Item","Multiple Order Quantity","No.",$B142)</t>
  </si>
  <si>
    <t>=NL("Last","Item Cross Reference","Cross-Reference No.","Cross-Reference Type No.","EAN 13","Item No.",$B142,"unit of measure","ea")</t>
  </si>
  <si>
    <t>=NL("Last","Item Unit of Measure","Height","Item No.",$B142,"code","ea")</t>
  </si>
  <si>
    <t>=NL("Last","Item Unit of Measure","Width","Item No.",$B142,"code","ea")</t>
  </si>
  <si>
    <t>=NL("Last","Item Unit of Measure","Length","Item No.",$B142,"code","ea")</t>
  </si>
  <si>
    <t>=NL("Last","Item Unit of Measure","Weight","Item No.",$B142,"code","ea")</t>
  </si>
  <si>
    <t>=NL("Last","Item","Country/Region of Origin Code","No.",$B142)</t>
  </si>
  <si>
    <t>=NL("Last","Item","Tariff No.","No.",$B142)</t>
  </si>
  <si>
    <t>=NL("Last","Item","Description","No.",$B143)</t>
  </si>
  <si>
    <t>=NL("Last","Sales Price","Unit Price","Item No.",$B143,"Ending Date","''","Sales Code","EUR PRICE")</t>
  </si>
  <si>
    <t>=NL("Last","Item","Multiple Order Quantity","No.",$B143)</t>
  </si>
  <si>
    <t>=NL("Last","Item Cross Reference","Cross-Reference No.","Cross-Reference Type No.","EAN 13","Item No.",$B143,"unit of measure","ea")</t>
  </si>
  <si>
    <t>=NL("Last","Item Unit of Measure","Height","Item No.",$B143,"code","ea")</t>
  </si>
  <si>
    <t>=NL("Last","Item Unit of Measure","Width","Item No.",$B143,"code","ea")</t>
  </si>
  <si>
    <t>=NL("Last","Item Unit of Measure","Length","Item No.",$B143,"code","ea")</t>
  </si>
  <si>
    <t>=NL("Last","Item Unit of Measure","Weight","Item No.",$B143,"code","ea")</t>
  </si>
  <si>
    <t>=NL("Last","Item","Country/Region of Origin Code","No.",$B143)</t>
  </si>
  <si>
    <t>=NL("Last","Item","Tariff No.","No.",$B143)</t>
  </si>
  <si>
    <t>=NL("Last","Item","Description","No.",$B144)</t>
  </si>
  <si>
    <t>=NL("Last","Sales Price","Unit Price","Item No.",$B144,"Ending Date","''","Sales Code","EUR PRICE")</t>
  </si>
  <si>
    <t>=NL("Last","Item","Multiple Order Quantity","No.",$B144)</t>
  </si>
  <si>
    <t>=NL("Last","Item Cross Reference","Cross-Reference No.","Cross-Reference Type No.","EAN 13","Item No.",$B144,"unit of measure","ea")</t>
  </si>
  <si>
    <t>=NL("Last","Item Unit of Measure","Height","Item No.",$B144,"code","ea")</t>
  </si>
  <si>
    <t>=NL("Last","Item Unit of Measure","Width","Item No.",$B144,"code","ea")</t>
  </si>
  <si>
    <t>=NL("Last","Item Unit of Measure","Length","Item No.",$B144,"code","ea")</t>
  </si>
  <si>
    <t>=NL("Last","Item Unit of Measure","Weight","Item No.",$B144,"code","ea")</t>
  </si>
  <si>
    <t>=NL("Last","Item","Country/Region of Origin Code","No.",$B144)</t>
  </si>
  <si>
    <t>=NL("Last","Item","Tariff No.","No.",$B144)</t>
  </si>
  <si>
    <t>=NL("Last","Item","Description","No.",$B145)</t>
  </si>
  <si>
    <t>=NL("Last","Sales Price","Unit Price","Item No.",$B145,"Ending Date","''","Sales Code","EUR PRICE")</t>
  </si>
  <si>
    <t>=NL("Last","Item","Multiple Order Quantity","No.",$B145)</t>
  </si>
  <si>
    <t>=NL("Last","Item Cross Reference","Cross-Reference No.","Cross-Reference Type No.","EAN 13","Item No.",$B145,"unit of measure","ea")</t>
  </si>
  <si>
    <t>=NL("Last","Item Unit of Measure","Height","Item No.",$B145,"code","ea")</t>
  </si>
  <si>
    <t>=NL("Last","Item Unit of Measure","Width","Item No.",$B145,"code","ea")</t>
  </si>
  <si>
    <t>=NL("Last","Item Unit of Measure","Length","Item No.",$B145,"code","ea")</t>
  </si>
  <si>
    <t>=NL("Last","Item Unit of Measure","Weight","Item No.",$B145,"code","ea")</t>
  </si>
  <si>
    <t>=NL("Last","Item","Country/Region of Origin Code","No.",$B145)</t>
  </si>
  <si>
    <t>=NL("Last","Item","Tariff No.","No.",$B145)</t>
  </si>
  <si>
    <t>=NL("Last","Item","Description","No.",$B146)</t>
  </si>
  <si>
    <t>=NL("Last","Sales Price","Unit Price","Item No.",$B146,"Ending Date","''","Sales Code","EUR PRICE")</t>
  </si>
  <si>
    <t>=NL("Last","Item","Multiple Order Quantity","No.",$B146)</t>
  </si>
  <si>
    <t>=NL("Last","Item Cross Reference","Cross-Reference No.","Cross-Reference Type No.","EAN 13","Item No.",$B146,"unit of measure","ea")</t>
  </si>
  <si>
    <t>=NL("Last","Item Unit of Measure","Height","Item No.",$B146,"code","ea")</t>
  </si>
  <si>
    <t>=NL("Last","Item Unit of Measure","Width","Item No.",$B146,"code","ea")</t>
  </si>
  <si>
    <t>=NL("Last","Item Unit of Measure","Length","Item No.",$B146,"code","ea")</t>
  </si>
  <si>
    <t>=NL("Last","Item Unit of Measure","Weight","Item No.",$B146,"code","ea")</t>
  </si>
  <si>
    <t>=NL("Last","Item","Country/Region of Origin Code","No.",$B146)</t>
  </si>
  <si>
    <t>=NL("Last","Item","Tariff No.","No.",$B146)</t>
  </si>
  <si>
    <t>=NL("Last","Item","Description","No.",$B147)</t>
  </si>
  <si>
    <t>=NL("Last","Sales Price","Unit Price","Item No.",$B147,"Ending Date","''","Sales Code","EUR PRICE")</t>
  </si>
  <si>
    <t>=NL("Last","Item","Multiple Order Quantity","No.",$B147)</t>
  </si>
  <si>
    <t>=NL("Last","Item Cross Reference","Cross-Reference No.","Cross-Reference Type No.","EAN 13","Item No.",$B147,"unit of measure","ea")</t>
  </si>
  <si>
    <t>=NL("Last","Item Unit of Measure","Height","Item No.",$B147,"code","ea")</t>
  </si>
  <si>
    <t>=NL("Last","Item Unit of Measure","Width","Item No.",$B147,"code","ea")</t>
  </si>
  <si>
    <t>=NL("Last","Item Unit of Measure","Length","Item No.",$B147,"code","ea")</t>
  </si>
  <si>
    <t>=NL("Last","Item Unit of Measure","Weight","Item No.",$B147,"code","ea")</t>
  </si>
  <si>
    <t>=NL("Last","Item","Country/Region of Origin Code","No.",$B147)</t>
  </si>
  <si>
    <t>=NL("Last","Item","Tariff No.","No.",$B147)</t>
  </si>
  <si>
    <t>=NL("Last","Item","Description","No.",$B148)</t>
  </si>
  <si>
    <t>=NL("Last","Sales Price","Unit Price","Item No.",$B148,"Ending Date","''","Sales Code","EUR PRICE")</t>
  </si>
  <si>
    <t>=NL("Last","Item","Multiple Order Quantity","No.",$B148)</t>
  </si>
  <si>
    <t>=NL("Last","Item Cross Reference","Cross-Reference No.","Cross-Reference Type No.","EAN 13","Item No.",$B148,"unit of measure","ea")</t>
  </si>
  <si>
    <t>=NL("Last","Item Unit of Measure","Height","Item No.",$B148,"code","ea")</t>
  </si>
  <si>
    <t>=NL("Last","Item Unit of Measure","Width","Item No.",$B148,"code","ea")</t>
  </si>
  <si>
    <t>=NL("Last","Item Unit of Measure","Length","Item No.",$B148,"code","ea")</t>
  </si>
  <si>
    <t>=NL("Last","Item Unit of Measure","Weight","Item No.",$B148,"code","ea")</t>
  </si>
  <si>
    <t>=NL("Last","Item","Country/Region of Origin Code","No.",$B148)</t>
  </si>
  <si>
    <t>=NL("Last","Item","Tariff No.","No.",$B148)</t>
  </si>
  <si>
    <t>=NL("Last","Item","Description","No.",$B149)</t>
  </si>
  <si>
    <t>=NL("Last","Sales Price","Unit Price","Item No.",$B149,"Ending Date","''","Sales Code","EUR PRICE")</t>
  </si>
  <si>
    <t>=NL("Last","Item","Multiple Order Quantity","No.",$B149)</t>
  </si>
  <si>
    <t>=NL("Last","Item Cross Reference","Cross-Reference No.","Cross-Reference Type No.","EAN 13","Item No.",$B149,"unit of measure","ea")</t>
  </si>
  <si>
    <t>=NL("Last","Item Unit of Measure","Height","Item No.",$B149,"code","ea")</t>
  </si>
  <si>
    <t>=NL("Last","Item Unit of Measure","Width","Item No.",$B149,"code","ea")</t>
  </si>
  <si>
    <t>=NL("Last","Item Unit of Measure","Length","Item No.",$B149,"code","ea")</t>
  </si>
  <si>
    <t>=NL("Last","Item Unit of Measure","Weight","Item No.",$B149,"code","ea")</t>
  </si>
  <si>
    <t>=NL("Last","Item","Country/Region of Origin Code","No.",$B149)</t>
  </si>
  <si>
    <t>=NL("Last","Item","Tariff No.","No.",$B149)</t>
  </si>
  <si>
    <t>=NL("Last","Item","Description","No.",$B150)</t>
  </si>
  <si>
    <t>=NL("Last","Sales Price","Unit Price","Item No.",$B150,"Ending Date","''","Sales Code","EUR PRICE")</t>
  </si>
  <si>
    <t>=NL("Last","Item","Multiple Order Quantity","No.",$B150)</t>
  </si>
  <si>
    <t>=NL("Last","Item Cross Reference","Cross-Reference No.","Cross-Reference Type No.","EAN 13","Item No.",$B150,"unit of measure","ea")</t>
  </si>
  <si>
    <t>=NL("Last","Item Unit of Measure","Height","Item No.",$B150,"code","ea")</t>
  </si>
  <si>
    <t>=NL("Last","Item Unit of Measure","Width","Item No.",$B150,"code","ea")</t>
  </si>
  <si>
    <t>=NL("Last","Item Unit of Measure","Length","Item No.",$B150,"code","ea")</t>
  </si>
  <si>
    <t>=NL("Last","Item Unit of Measure","Weight","Item No.",$B150,"code","ea")</t>
  </si>
  <si>
    <t>=NL("Last","Item","Country/Region of Origin Code","No.",$B150)</t>
  </si>
  <si>
    <t>=NL("Last","Item","Tariff No.","No.",$B150)</t>
  </si>
  <si>
    <t>=NL("Last","Item","Description","No.",$B151)</t>
  </si>
  <si>
    <t>=NL("Last","Sales Price","Unit Price","Item No.",$B151,"Ending Date","''","Sales Code","EUR PRICE")</t>
  </si>
  <si>
    <t>=NL("Last","Item","Multiple Order Quantity","No.",$B151)</t>
  </si>
  <si>
    <t>=NL("Last","Item Cross Reference","Cross-Reference No.","Cross-Reference Type No.","EAN 13","Item No.",$B151,"unit of measure","ea")</t>
  </si>
  <si>
    <t>=NL("Last","Item Unit of Measure","Height","Item No.",$B151,"code","ea")</t>
  </si>
  <si>
    <t>=NL("Last","Item Unit of Measure","Width","Item No.",$B151,"code","ea")</t>
  </si>
  <si>
    <t>=NL("Last","Item Unit of Measure","Length","Item No.",$B151,"code","ea")</t>
  </si>
  <si>
    <t>=NL("Last","Item Unit of Measure","Weight","Item No.",$B151,"code","ea")</t>
  </si>
  <si>
    <t>=NL("Last","Item","Country/Region of Origin Code","No.",$B151)</t>
  </si>
  <si>
    <t>=NL("Last","Item","Tariff No.","No.",$B151)</t>
  </si>
  <si>
    <t>=NL("Last","Item","Description","No.",$B152)</t>
  </si>
  <si>
    <t>=NL("Last","Sales Price","Unit Price","Item No.",$B152,"Ending Date","''","Sales Code","EUR PRICE")</t>
  </si>
  <si>
    <t>=NL("Last","Item","Multiple Order Quantity","No.",$B152)</t>
  </si>
  <si>
    <t>=NL("Last","Item Cross Reference","Cross-Reference No.","Cross-Reference Type No.","EAN 13","Item No.",$B152,"unit of measure","ea")</t>
  </si>
  <si>
    <t>=NL("Last","Item Unit of Measure","Height","Item No.",$B152,"code","ea")</t>
  </si>
  <si>
    <t>=NL("Last","Item Unit of Measure","Width","Item No.",$B152,"code","ea")</t>
  </si>
  <si>
    <t>=NL("Last","Item Unit of Measure","Length","Item No.",$B152,"code","ea")</t>
  </si>
  <si>
    <t>=NL("Last","Item Unit of Measure","Weight","Item No.",$B152,"code","ea")</t>
  </si>
  <si>
    <t>=NL("Last","Item","Country/Region of Origin Code","No.",$B152)</t>
  </si>
  <si>
    <t>=NL("Last","Item","Tariff No.","No.",$B152)</t>
  </si>
  <si>
    <t>=NL("Last","Item","Description","No.",$B153)</t>
  </si>
  <si>
    <t>=NL("Last","Sales Price","Unit Price","Item No.",$B153,"Ending Date","''","Sales Code","EUR PRICE")</t>
  </si>
  <si>
    <t>=NL("Last","Item","Multiple Order Quantity","No.",$B153)</t>
  </si>
  <si>
    <t>=NL("Last","Item Cross Reference","Cross-Reference No.","Cross-Reference Type No.","EAN 13","Item No.",$B153,"unit of measure","ea")</t>
  </si>
  <si>
    <t>=NL("Last","Item Unit of Measure","Height","Item No.",$B153,"code","ea")</t>
  </si>
  <si>
    <t>=NL("Last","Item Unit of Measure","Width","Item No.",$B153,"code","ea")</t>
  </si>
  <si>
    <t>=NL("Last","Item Unit of Measure","Length","Item No.",$B153,"code","ea")</t>
  </si>
  <si>
    <t>=NL("Last","Item Unit of Measure","Weight","Item No.",$B153,"code","ea")</t>
  </si>
  <si>
    <t>=NL("Last","Item","Country/Region of Origin Code","No.",$B153)</t>
  </si>
  <si>
    <t>=NL("Last","Item","Tariff No.","No.",$B153)</t>
  </si>
  <si>
    <t>=NL("Last","Item","Description","No.",$B154)</t>
  </si>
  <si>
    <t>=NL("Last","Sales Price","Unit Price","Item No.",$B154,"Ending Date","''","Sales Code","EUR PRICE")</t>
  </si>
  <si>
    <t>=NL("Last","Item","Multiple Order Quantity","No.",$B154)</t>
  </si>
  <si>
    <t>=NL("Last","Item Cross Reference","Cross-Reference No.","Cross-Reference Type No.","EAN 13","Item No.",$B154,"unit of measure","ea")</t>
  </si>
  <si>
    <t>=NL("Last","Item Unit of Measure","Height","Item No.",$B154,"code","ea")</t>
  </si>
  <si>
    <t>=NL("Last","Item Unit of Measure","Width","Item No.",$B154,"code","ea")</t>
  </si>
  <si>
    <t>=NL("Last","Item Unit of Measure","Length","Item No.",$B154,"code","ea")</t>
  </si>
  <si>
    <t>=NL("Last","Item Unit of Measure","Weight","Item No.",$B154,"code","ea")</t>
  </si>
  <si>
    <t>=NL("Last","Item","Country/Region of Origin Code","No.",$B154)</t>
  </si>
  <si>
    <t>=NL("Last","Item","Tariff No.","No.",$B154)</t>
  </si>
  <si>
    <t>=NL("Last","Item","Description","No.",$B155)</t>
  </si>
  <si>
    <t>=NL("Last","Sales Price","Unit Price","Item No.",$B155,"Ending Date","''","Sales Code","EUR PRICE")</t>
  </si>
  <si>
    <t>=NL("Last","Item","Multiple Order Quantity","No.",$B155)</t>
  </si>
  <si>
    <t>=NL("Last","Item Cross Reference","Cross-Reference No.","Cross-Reference Type No.","EAN 13","Item No.",$B155,"unit of measure","ea")</t>
  </si>
  <si>
    <t>=NL("Last","Item Unit of Measure","Height","Item No.",$B155,"code","ea")</t>
  </si>
  <si>
    <t>=NL("Last","Item Unit of Measure","Width","Item No.",$B155,"code","ea")</t>
  </si>
  <si>
    <t>=NL("Last","Item Unit of Measure","Length","Item No.",$B155,"code","ea")</t>
  </si>
  <si>
    <t>=NL("Last","Item Unit of Measure","Weight","Item No.",$B155,"code","ea")</t>
  </si>
  <si>
    <t>=NL("Last","Item","Country/Region of Origin Code","No.",$B155)</t>
  </si>
  <si>
    <t>=NL("Last","Item","Tariff No.","No.",$B155)</t>
  </si>
  <si>
    <t>=NL("Last","Item","Description","No.",$B156)</t>
  </si>
  <si>
    <t>=NL("Last","Sales Price","Unit Price","Item No.",$B156,"Ending Date","''","Sales Code","EUR PRICE")</t>
  </si>
  <si>
    <t>=NL("Last","Item","Multiple Order Quantity","No.",$B156)</t>
  </si>
  <si>
    <t>=NL("Last","Item Cross Reference","Cross-Reference No.","Cross-Reference Type No.","EAN 13","Item No.",$B156,"unit of measure","ea")</t>
  </si>
  <si>
    <t>=NL("Last","Item Unit of Measure","Height","Item No.",$B156,"code","ea")</t>
  </si>
  <si>
    <t>=NL("Last","Item Unit of Measure","Width","Item No.",$B156,"code","ea")</t>
  </si>
  <si>
    <t>=NL("Last","Item Unit of Measure","Length","Item No.",$B156,"code","ea")</t>
  </si>
  <si>
    <t>=NL("Last","Item Unit of Measure","Weight","Item No.",$B156,"code","ea")</t>
  </si>
  <si>
    <t>=NL("Last","Item","Country/Region of Origin Code","No.",$B156)</t>
  </si>
  <si>
    <t>=NL("Last","Item","Tariff No.","No.",$B156)</t>
  </si>
  <si>
    <t>=NL("Last","Item","Description","No.",$B157)</t>
  </si>
  <si>
    <t>=NL("Last","Sales Price","Unit Price","Item No.",$B157,"Ending Date","''","Sales Code","EUR PRICE")</t>
  </si>
  <si>
    <t>=NL("Last","Item","Multiple Order Quantity","No.",$B157)</t>
  </si>
  <si>
    <t>=NL("Last","Item Cross Reference","Cross-Reference No.","Cross-Reference Type No.","EAN 13","Item No.",$B157,"unit of measure","ea")</t>
  </si>
  <si>
    <t>=NL("Last","Item Unit of Measure","Height","Item No.",$B157,"code","ea")</t>
  </si>
  <si>
    <t>=NL("Last","Item Unit of Measure","Width","Item No.",$B157,"code","ea")</t>
  </si>
  <si>
    <t>=NL("Last","Item Unit of Measure","Length","Item No.",$B157,"code","ea")</t>
  </si>
  <si>
    <t>=NL("Last","Item Unit of Measure","Weight","Item No.",$B157,"code","ea")</t>
  </si>
  <si>
    <t>=NL("Last","Item","Country/Region of Origin Code","No.",$B157)</t>
  </si>
  <si>
    <t>=NL("Last","Item","Tariff No.","No.",$B157)</t>
  </si>
  <si>
    <t>=NL("Last","Item","Description","No.",$B158)</t>
  </si>
  <si>
    <t>=NL("Last","Sales Price","Unit Price","Item No.",$B158,"Ending Date","''","Sales Code","EUR PRICE")</t>
  </si>
  <si>
    <t>=NL("Last","Item","Multiple Order Quantity","No.",$B158)</t>
  </si>
  <si>
    <t>=NL("Last","Item Cross Reference","Cross-Reference No.","Cross-Reference Type No.","EAN 13","Item No.",$B158,"unit of measure","ea")</t>
  </si>
  <si>
    <t>=NL("Last","Item Unit of Measure","Height","Item No.",$B158,"code","ea")</t>
  </si>
  <si>
    <t>=NL("Last","Item Unit of Measure","Width","Item No.",$B158,"code","ea")</t>
  </si>
  <si>
    <t>=NL("Last","Item Unit of Measure","Length","Item No.",$B158,"code","ea")</t>
  </si>
  <si>
    <t>=NL("Last","Item Unit of Measure","Weight","Item No.",$B158,"code","ea")</t>
  </si>
  <si>
    <t>=NL("Last","Item","Country/Region of Origin Code","No.",$B158)</t>
  </si>
  <si>
    <t>=NL("Last","Item","Tariff No.","No.",$B158)</t>
  </si>
  <si>
    <t>=NL("Last","Item","Description","No.",$B159)</t>
  </si>
  <si>
    <t>=NL("Last","Sales Price","Unit Price","Item No.",$B159,"Ending Date","''","Sales Code","EUR PRICE")</t>
  </si>
  <si>
    <t>=NL("Last","Item","Multiple Order Quantity","No.",$B159)</t>
  </si>
  <si>
    <t>=NL("Last","Item Cross Reference","Cross-Reference No.","Cross-Reference Type No.","EAN 13","Item No.",$B159,"unit of measure","ea")</t>
  </si>
  <si>
    <t>=NL("Last","Item Unit of Measure","Height","Item No.",$B159,"code","ea")</t>
  </si>
  <si>
    <t>=NL("Last","Item Unit of Measure","Width","Item No.",$B159,"code","ea")</t>
  </si>
  <si>
    <t>=NL("Last","Item Unit of Measure","Length","Item No.",$B159,"code","ea")</t>
  </si>
  <si>
    <t>=NL("Last","Item Unit of Measure","Weight","Item No.",$B159,"code","ea")</t>
  </si>
  <si>
    <t>=NL("Last","Item","Country/Region of Origin Code","No.",$B159)</t>
  </si>
  <si>
    <t>=NL("Last","Item","Tariff No.","No.",$B159)</t>
  </si>
  <si>
    <t>=NL("Last","Item","Description","No.",$B160)</t>
  </si>
  <si>
    <t>=NL("Last","Sales Price","Unit Price","Item No.",$B160,"Ending Date","''","Sales Code","EUR PRICE")</t>
  </si>
  <si>
    <t>=NL("Last","Item","Multiple Order Quantity","No.",$B160)</t>
  </si>
  <si>
    <t>=NL("Last","Item Cross Reference","Cross-Reference No.","Cross-Reference Type No.","EAN 13","Item No.",$B160,"unit of measure","ea")</t>
  </si>
  <si>
    <t>=NL("Last","Item Unit of Measure","Height","Item No.",$B160,"code","ea")</t>
  </si>
  <si>
    <t>=NL("Last","Item Unit of Measure","Width","Item No.",$B160,"code","ea")</t>
  </si>
  <si>
    <t>=NL("Last","Item Unit of Measure","Length","Item No.",$B160,"code","ea")</t>
  </si>
  <si>
    <t>=NL("Last","Item Unit of Measure","Weight","Item No.",$B160,"code","ea")</t>
  </si>
  <si>
    <t>=NL("Last","Item","Country/Region of Origin Code","No.",$B160)</t>
  </si>
  <si>
    <t>=NL("Last","Item","Tariff No.","No.",$B160)</t>
  </si>
  <si>
    <t>=NL("Last","Item","Description","No.",$B161)</t>
  </si>
  <si>
    <t>=NL("Last","Sales Price","Unit Price","Item No.",$B161,"Ending Date","''","Sales Code","EUR PRICE")</t>
  </si>
  <si>
    <t>=NL("Last","Item","Multiple Order Quantity","No.",$B161)</t>
  </si>
  <si>
    <t>=NL("Last","Item Cross Reference","Cross-Reference No.","Cross-Reference Type No.","EAN 13","Item No.",$B161,"unit of measure","ea")</t>
  </si>
  <si>
    <t>=NL("Last","Item Unit of Measure","Height","Item No.",$B161,"code","ea")</t>
  </si>
  <si>
    <t>=NL("Last","Item Unit of Measure","Width","Item No.",$B161,"code","ea")</t>
  </si>
  <si>
    <t>=NL("Last","Item Unit of Measure","Length","Item No.",$B161,"code","ea")</t>
  </si>
  <si>
    <t>=NL("Last","Item Unit of Measure","Weight","Item No.",$B161,"code","ea")</t>
  </si>
  <si>
    <t>=NL("Last","Item","Country/Region of Origin Code","No.",$B161)</t>
  </si>
  <si>
    <t>=NL("Last","Item","Tariff No.","No.",$B161)</t>
  </si>
  <si>
    <t>=NL("Last","Item","Description","No.",$B162)</t>
  </si>
  <si>
    <t>=NL("Last","Sales Price","Unit Price","Item No.",$B162,"Ending Date","''","Sales Code","EUR PRICE")</t>
  </si>
  <si>
    <t>=NL("Last","Item","Multiple Order Quantity","No.",$B162)</t>
  </si>
  <si>
    <t>=NL("Last","Item Cross Reference","Cross-Reference No.","Cross-Reference Type No.","EAN 13","Item No.",$B162,"unit of measure","ea")</t>
  </si>
  <si>
    <t>=NL("Last","Item Unit of Measure","Height","Item No.",$B162,"code","ea")</t>
  </si>
  <si>
    <t>=NL("Last","Item Unit of Measure","Width","Item No.",$B162,"code","ea")</t>
  </si>
  <si>
    <t>=NL("Last","Item Unit of Measure","Length","Item No.",$B162,"code","ea")</t>
  </si>
  <si>
    <t>=NL("Last","Item Unit of Measure","Weight","Item No.",$B162,"code","ea")</t>
  </si>
  <si>
    <t>=NL("Last","Item","Country/Region of Origin Code","No.",$B162)</t>
  </si>
  <si>
    <t>=NL("Last","Item","Tariff No.","No.",$B162)</t>
  </si>
  <si>
    <t>=NL("Last","Item","Description","No.",$B163)</t>
  </si>
  <si>
    <t>=NL("Last","Sales Price","Unit Price","Item No.",$B163,"Ending Date","''","Sales Code","EUR PRICE")</t>
  </si>
  <si>
    <t>=NL("Last","Item","Multiple Order Quantity","No.",$B163)</t>
  </si>
  <si>
    <t>=NL("Last","Item Cross Reference","Cross-Reference No.","Cross-Reference Type No.","EAN 13","Item No.",$B163,"unit of measure","ea")</t>
  </si>
  <si>
    <t>=NL("Last","Item Unit of Measure","Height","Item No.",$B163,"code","ea")</t>
  </si>
  <si>
    <t>=NL("Last","Item Unit of Measure","Width","Item No.",$B163,"code","ea")</t>
  </si>
  <si>
    <t>=NL("Last","Item Unit of Measure","Length","Item No.",$B163,"code","ea")</t>
  </si>
  <si>
    <t>=NL("Last","Item Unit of Measure","Weight","Item No.",$B163,"code","ea")</t>
  </si>
  <si>
    <t>=NL("Last","Item","Country/Region of Origin Code","No.",$B163)</t>
  </si>
  <si>
    <t>=NL("Last","Item","Tariff No.","No.",$B163)</t>
  </si>
  <si>
    <t>=NL("Last","Item","Description","No.",$B164)</t>
  </si>
  <si>
    <t>=NL("Last","Sales Price","Unit Price","Item No.",$B164,"Ending Date","''","Sales Code","EUR PRICE")</t>
  </si>
  <si>
    <t>=NL("Last","Item","Multiple Order Quantity","No.",$B164)</t>
  </si>
  <si>
    <t>=NL("Last","Item Cross Reference","Cross-Reference No.","Cross-Reference Type No.","EAN 13","Item No.",$B164,"unit of measure","ea")</t>
  </si>
  <si>
    <t>=NL("Last","Item Unit of Measure","Height","Item No.",$B164,"code","ea")</t>
  </si>
  <si>
    <t>=NL("Last","Item Unit of Measure","Width","Item No.",$B164,"code","ea")</t>
  </si>
  <si>
    <t>=NL("Last","Item Unit of Measure","Length","Item No.",$B164,"code","ea")</t>
  </si>
  <si>
    <t>=NL("Last","Item Unit of Measure","Weight","Item No.",$B164,"code","ea")</t>
  </si>
  <si>
    <t>=NL("Last","Item","Country/Region of Origin Code","No.",$B164)</t>
  </si>
  <si>
    <t>=NL("Last","Item","Tariff No.","No.",$B164)</t>
  </si>
  <si>
    <t>=NL("Last","Item","Description","No.",$B165)</t>
  </si>
  <si>
    <t>=NL("Last","Sales Price","Unit Price","Item No.",$B165,"Ending Date","''","Sales Code","EUR PRICE")</t>
  </si>
  <si>
    <t>=NL("Last","Item","Multiple Order Quantity","No.",$B165)</t>
  </si>
  <si>
    <t>=NL("Last","Item Cross Reference","Cross-Reference No.","Cross-Reference Type No.","EAN 13","Item No.",$B165,"unit of measure","ea")</t>
  </si>
  <si>
    <t>=NL("Last","Item Unit of Measure","Height","Item No.",$B165,"code","ea")</t>
  </si>
  <si>
    <t>=NL("Last","Item Unit of Measure","Width","Item No.",$B165,"code","ea")</t>
  </si>
  <si>
    <t>=NL("Last","Item Unit of Measure","Length","Item No.",$B165,"code","ea")</t>
  </si>
  <si>
    <t>=NL("Last","Item Unit of Measure","Weight","Item No.",$B165,"code","ea")</t>
  </si>
  <si>
    <t>=NL("Last","Item","Country/Region of Origin Code","No.",$B165)</t>
  </si>
  <si>
    <t>=NL("Last","Item","Tariff No.","No.",$B165)</t>
  </si>
  <si>
    <t>=NL("Last","Item","Description","No.",$B166)</t>
  </si>
  <si>
    <t>=NL("Last","Sales Price","Unit Price","Item No.",$B166,"Ending Date","''","Sales Code","EUR PRICE")</t>
  </si>
  <si>
    <t>=NL("Last","Item","Multiple Order Quantity","No.",$B166)</t>
  </si>
  <si>
    <t>=NL("Last","Item Cross Reference","Cross-Reference No.","Cross-Reference Type No.","EAN 13","Item No.",$B166,"unit of measure","ea")</t>
  </si>
  <si>
    <t>=NL("Last","Item Unit of Measure","Height","Item No.",$B166,"code","ea")</t>
  </si>
  <si>
    <t>=NL("Last","Item Unit of Measure","Width","Item No.",$B166,"code","ea")</t>
  </si>
  <si>
    <t>=NL("Last","Item Unit of Measure","Length","Item No.",$B166,"code","ea")</t>
  </si>
  <si>
    <t>=NL("Last","Item Unit of Measure","Weight","Item No.",$B166,"code","ea")</t>
  </si>
  <si>
    <t>=NL("Last","Item","Country/Region of Origin Code","No.",$B166)</t>
  </si>
  <si>
    <t>=NL("Last","Item","Tariff No.","No.",$B166)</t>
  </si>
  <si>
    <t>=NL("Last","Item","Description","No.",$B167)</t>
  </si>
  <si>
    <t>=NL("Last","Sales Price","Unit Price","Item No.",$B167,"Ending Date","''","Sales Code","EUR PRICE")</t>
  </si>
  <si>
    <t>=NL("Last","Item","Multiple Order Quantity","No.",$B167)</t>
  </si>
  <si>
    <t>=NL("Last","Item Cross Reference","Cross-Reference No.","Cross-Reference Type No.","EAN 13","Item No.",$B167,"unit of measure","ea")</t>
  </si>
  <si>
    <t>=NL("Last","Item Unit of Measure","Height","Item No.",$B167,"code","ea")</t>
  </si>
  <si>
    <t>=NL("Last","Item Unit of Measure","Width","Item No.",$B167,"code","ea")</t>
  </si>
  <si>
    <t>=NL("Last","Item Unit of Measure","Length","Item No.",$B167,"code","ea")</t>
  </si>
  <si>
    <t>=NL("Last","Item Unit of Measure","Weight","Item No.",$B167,"code","ea")</t>
  </si>
  <si>
    <t>=NL("Last","Item","Country/Region of Origin Code","No.",$B167)</t>
  </si>
  <si>
    <t>=NL("Last","Item","Tariff No.","No.",$B167)</t>
  </si>
  <si>
    <t>=NL("Last","Item","Description","No.",$B168)</t>
  </si>
  <si>
    <t>=NL("Last","Sales Price","Unit Price","Item No.",$B168,"Ending Date","''","Sales Code","EUR PRICE")</t>
  </si>
  <si>
    <t>=NL("Last","Item","Multiple Order Quantity","No.",$B168)</t>
  </si>
  <si>
    <t>=NL("Last","Item Cross Reference","Cross-Reference No.","Cross-Reference Type No.","EAN 13","Item No.",$B168,"unit of measure","ea")</t>
  </si>
  <si>
    <t>=NL("Last","Item Unit of Measure","Height","Item No.",$B168,"code","ea")</t>
  </si>
  <si>
    <t>=NL("Last","Item Unit of Measure","Width","Item No.",$B168,"code","ea")</t>
  </si>
  <si>
    <t>=NL("Last","Item Unit of Measure","Length","Item No.",$B168,"code","ea")</t>
  </si>
  <si>
    <t>=NL("Last","Item Unit of Measure","Weight","Item No.",$B168,"code","ea")</t>
  </si>
  <si>
    <t>=NL("Last","Item","Country/Region of Origin Code","No.",$B168)</t>
  </si>
  <si>
    <t>=NL("Last","Item","Tariff No.","No.",$B168)</t>
  </si>
  <si>
    <t>=NL("Last","Item","Description","No.",$B169)</t>
  </si>
  <si>
    <t>=NL("Last","Sales Price","Unit Price","Item No.",$B169,"Ending Date","''","Sales Code","EUR PRICE")</t>
  </si>
  <si>
    <t>=NL("Last","Item","Multiple Order Quantity","No.",$B169)</t>
  </si>
  <si>
    <t>=NL("Last","Item Cross Reference","Cross-Reference No.","Cross-Reference Type No.","EAN 13","Item No.",$B169,"unit of measure","ea")</t>
  </si>
  <si>
    <t>=NL("Last","Item Unit of Measure","Height","Item No.",$B169,"code","ea")</t>
  </si>
  <si>
    <t>=NL("Last","Item Unit of Measure","Width","Item No.",$B169,"code","ea")</t>
  </si>
  <si>
    <t>=NL("Last","Item Unit of Measure","Length","Item No.",$B169,"code","ea")</t>
  </si>
  <si>
    <t>=NL("Last","Item Unit of Measure","Weight","Item No.",$B169,"code","ea")</t>
  </si>
  <si>
    <t>=NL("Last","Item","Country/Region of Origin Code","No.",$B169)</t>
  </si>
  <si>
    <t>=NL("Last","Item","Tariff No.","No.",$B169)</t>
  </si>
  <si>
    <t>=NL("Last","Item","Description","No.",$B170)</t>
  </si>
  <si>
    <t>=NL("Last","Sales Price","Unit Price","Item No.",$B170,"Ending Date","''","Sales Code","EUR PRICE")</t>
  </si>
  <si>
    <t>=NL("Last","Item","Multiple Order Quantity","No.",$B170)</t>
  </si>
  <si>
    <t>=NL("Last","Item Cross Reference","Cross-Reference No.","Cross-Reference Type No.","EAN 13","Item No.",$B170,"unit of measure","ea")</t>
  </si>
  <si>
    <t>=NL("Last","Item Unit of Measure","Height","Item No.",$B170,"code","ea")</t>
  </si>
  <si>
    <t>=NL("Last","Item Unit of Measure","Width","Item No.",$B170,"code","ea")</t>
  </si>
  <si>
    <t>=NL("Last","Item Unit of Measure","Length","Item No.",$B170,"code","ea")</t>
  </si>
  <si>
    <t>=NL("Last","Item Unit of Measure","Weight","Item No.",$B170,"code","ea")</t>
  </si>
  <si>
    <t>=NL("Last","Item","Country/Region of Origin Code","No.",$B170)</t>
  </si>
  <si>
    <t>=NL("Last","Item","Tariff No.","No.",$B170)</t>
  </si>
  <si>
    <t>=NL("Last","Item","Description","No.",$B171)</t>
  </si>
  <si>
    <t>=NL("Last","Sales Price","Unit Price","Item No.",$B171,"Ending Date","''","Sales Code","EUR PRICE")</t>
  </si>
  <si>
    <t>=NL("Last","Item","Multiple Order Quantity","No.",$B171)</t>
  </si>
  <si>
    <t>=NL("Last","Item Cross Reference","Cross-Reference No.","Cross-Reference Type No.","EAN 13","Item No.",$B171,"unit of measure","ea")</t>
  </si>
  <si>
    <t>=NL("Last","Item Unit of Measure","Height","Item No.",$B171,"code","ea")</t>
  </si>
  <si>
    <t>=NL("Last","Item Unit of Measure","Width","Item No.",$B171,"code","ea")</t>
  </si>
  <si>
    <t>=NL("Last","Item Unit of Measure","Length","Item No.",$B171,"code","ea")</t>
  </si>
  <si>
    <t>=NL("Last","Item Unit of Measure","Weight","Item No.",$B171,"code","ea")</t>
  </si>
  <si>
    <t>=NL("Last","Item","Country/Region of Origin Code","No.",$B171)</t>
  </si>
  <si>
    <t>=NL("Last","Item","Tariff No.","No.",$B171)</t>
  </si>
  <si>
    <t>=NL("Last","Item","Description","No.",$B172)</t>
  </si>
  <si>
    <t>=NL("Last","Sales Price","Unit Price","Item No.",$B172,"Ending Date","''","Sales Code","EUR PRICE")</t>
  </si>
  <si>
    <t>=NL("Last","Item","Multiple Order Quantity","No.",$B172)</t>
  </si>
  <si>
    <t>=NL("Last","Item Cross Reference","Cross-Reference No.","Cross-Reference Type No.","EAN 13","Item No.",$B172,"unit of measure","ea")</t>
  </si>
  <si>
    <t>=NL("Last","Item Unit of Measure","Height","Item No.",$B172,"code","ea")</t>
  </si>
  <si>
    <t>=NL("Last","Item Unit of Measure","Width","Item No.",$B172,"code","ea")</t>
  </si>
  <si>
    <t>=NL("Last","Item Unit of Measure","Length","Item No.",$B172,"code","ea")</t>
  </si>
  <si>
    <t>=NL("Last","Item Unit of Measure","Weight","Item No.",$B172,"code","ea")</t>
  </si>
  <si>
    <t>=NL("Last","Item","Country/Region of Origin Code","No.",$B172)</t>
  </si>
  <si>
    <t>=NL("Last","Item","Tariff No.","No.",$B172)</t>
  </si>
  <si>
    <t>=NL("Last","Item","Description","No.",$B173)</t>
  </si>
  <si>
    <t>=NL("Last","Sales Price","Unit Price","Item No.",$B173,"Ending Date","''","Sales Code","EUR PRICE")</t>
  </si>
  <si>
    <t>=NL("Last","Item","Multiple Order Quantity","No.",$B173)</t>
  </si>
  <si>
    <t>=NL("Last","Item Cross Reference","Cross-Reference No.","Cross-Reference Type No.","EAN 13","Item No.",$B173,"unit of measure","ea")</t>
  </si>
  <si>
    <t>=NL("Last","Item Unit of Measure","Height","Item No.",$B173,"code","ea")</t>
  </si>
  <si>
    <t>=NL("Last","Item Unit of Measure","Width","Item No.",$B173,"code","ea")</t>
  </si>
  <si>
    <t>=NL("Last","Item Unit of Measure","Length","Item No.",$B173,"code","ea")</t>
  </si>
  <si>
    <t>=NL("Last","Item Unit of Measure","Weight","Item No.",$B173,"code","ea")</t>
  </si>
  <si>
    <t>=NL("Last","Item","Country/Region of Origin Code","No.",$B173)</t>
  </si>
  <si>
    <t>=NL("Last","Item","Tariff No.","No.",$B173)</t>
  </si>
  <si>
    <t>=NL("Last","Item","Description","No.",$B174)</t>
  </si>
  <si>
    <t>=NL("Last","Sales Price","Unit Price","Item No.",$B174,"Ending Date","''","Sales Code","EUR PRICE")</t>
  </si>
  <si>
    <t>=NL("Last","Item","Multiple Order Quantity","No.",$B174)</t>
  </si>
  <si>
    <t>=NL("Last","Item Cross Reference","Cross-Reference No.","Cross-Reference Type No.","EAN 13","Item No.",$B174,"unit of measure","ea")</t>
  </si>
  <si>
    <t>=NL("Last","Item Unit of Measure","Height","Item No.",$B174,"code","ea")</t>
  </si>
  <si>
    <t>=NL("Last","Item Unit of Measure","Width","Item No.",$B174,"code","ea")</t>
  </si>
  <si>
    <t>=NL("Last","Item Unit of Measure","Length","Item No.",$B174,"code","ea")</t>
  </si>
  <si>
    <t>=NL("Last","Item Unit of Measure","Weight","Item No.",$B174,"code","ea")</t>
  </si>
  <si>
    <t>=NL("Last","Item","Country/Region of Origin Code","No.",$B174)</t>
  </si>
  <si>
    <t>=NL("Last","Item","Tariff No.","No.",$B174)</t>
  </si>
  <si>
    <t>=NL("Last","Item","Description","No.",$B175)</t>
  </si>
  <si>
    <t>=NL("Last","Sales Price","Unit Price","Item No.",$B175,"Ending Date","''","Sales Code","EUR PRICE")</t>
  </si>
  <si>
    <t>=NL("Last","Item","Multiple Order Quantity","No.",$B175)</t>
  </si>
  <si>
    <t>=NL("Last","Item Cross Reference","Cross-Reference No.","Cross-Reference Type No.","EAN 13","Item No.",$B175,"unit of measure","ea")</t>
  </si>
  <si>
    <t>=NL("Last","Item Unit of Measure","Height","Item No.",$B175,"code","ea")</t>
  </si>
  <si>
    <t>=NL("Last","Item Unit of Measure","Width","Item No.",$B175,"code","ea")</t>
  </si>
  <si>
    <t>=NL("Last","Item Unit of Measure","Length","Item No.",$B175,"code","ea")</t>
  </si>
  <si>
    <t>=NL("Last","Item Unit of Measure","Weight","Item No.",$B175,"code","ea")</t>
  </si>
  <si>
    <t>=NL("Last","Item","Country/Region of Origin Code","No.",$B175)</t>
  </si>
  <si>
    <t>=NL("Last","Item","Tariff No.","No.",$B175)</t>
  </si>
  <si>
    <t>=NL("Last","Item","Description","No.",$B176)</t>
  </si>
  <si>
    <t>=NL("Last","Sales Price","Unit Price","Item No.",$B176,"Ending Date","''","Sales Code","EUR PRICE")</t>
  </si>
  <si>
    <t>=NL("Last","Item","Multiple Order Quantity","No.",$B176)</t>
  </si>
  <si>
    <t>=NL("Last","Item Cross Reference","Cross-Reference No.","Cross-Reference Type No.","EAN 13","Item No.",$B176,"unit of measure","ea")</t>
  </si>
  <si>
    <t>=NL("Last","Item Unit of Measure","Height","Item No.",$B176,"code","ea")</t>
  </si>
  <si>
    <t>=NL("Last","Item Unit of Measure","Width","Item No.",$B176,"code","ea")</t>
  </si>
  <si>
    <t>=NL("Last","Item Unit of Measure","Length","Item No.",$B176,"code","ea")</t>
  </si>
  <si>
    <t>=NL("Last","Item Unit of Measure","Weight","Item No.",$B176,"code","ea")</t>
  </si>
  <si>
    <t>=NL("Last","Item","Country/Region of Origin Code","No.",$B176)</t>
  </si>
  <si>
    <t>=NL("Last","Item","Tariff No.","No.",$B176)</t>
  </si>
  <si>
    <t>=NL("Last","Item","Description","No.",$B177)</t>
  </si>
  <si>
    <t>=NL("Last","Sales Price","Unit Price","Item No.",$B177,"Ending Date","''","Sales Code","EUR PRICE")</t>
  </si>
  <si>
    <t>=NL("Last","Item","Multiple Order Quantity","No.",$B177)</t>
  </si>
  <si>
    <t>=NL("Last","Item Cross Reference","Cross-Reference No.","Cross-Reference Type No.","EAN 13","Item No.",$B177,"unit of measure","ea")</t>
  </si>
  <si>
    <t>=NL("Last","Item Unit of Measure","Height","Item No.",$B177,"code","ea")</t>
  </si>
  <si>
    <t>=NL("Last","Item Unit of Measure","Width","Item No.",$B177,"code","ea")</t>
  </si>
  <si>
    <t>=NL("Last","Item Unit of Measure","Length","Item No.",$B177,"code","ea")</t>
  </si>
  <si>
    <t>=NL("Last","Item Unit of Measure","Weight","Item No.",$B177,"code","ea")</t>
  </si>
  <si>
    <t>=NL("Last","Item","Country/Region of Origin Code","No.",$B177)</t>
  </si>
  <si>
    <t>=NL("Last","Item","Tariff No.","No.",$B177)</t>
  </si>
  <si>
    <t>=NL("Last","Item","Description","No.",$B178)</t>
  </si>
  <si>
    <t>=NL("Last","Sales Price","Unit Price","Item No.",$B178,"Ending Date","''","Sales Code","EUR PRICE")</t>
  </si>
  <si>
    <t>=NL("Last","Item","Multiple Order Quantity","No.",$B178)</t>
  </si>
  <si>
    <t>=NL("Last","Item Cross Reference","Cross-Reference No.","Cross-Reference Type No.","EAN 13","Item No.",$B178,"unit of measure","ea")</t>
  </si>
  <si>
    <t>=NL("Last","Item Unit of Measure","Height","Item No.",$B178,"code","ea")</t>
  </si>
  <si>
    <t>=NL("Last","Item Unit of Measure","Width","Item No.",$B178,"code","ea")</t>
  </si>
  <si>
    <t>=NL("Last","Item Unit of Measure","Length","Item No.",$B178,"code","ea")</t>
  </si>
  <si>
    <t>=NL("Last","Item Unit of Measure","Weight","Item No.",$B178,"code","ea")</t>
  </si>
  <si>
    <t>=NL("Last","Item","Country/Region of Origin Code","No.",$B178)</t>
  </si>
  <si>
    <t>=NL("Last","Item","Tariff No.","No.",$B178)</t>
  </si>
  <si>
    <t>=NL("Last","Item","Description","No.",$B179)</t>
  </si>
  <si>
    <t>=NL("Last","Sales Price","Unit Price","Item No.",$B179,"Ending Date","''","Sales Code","EUR PRICE")</t>
  </si>
  <si>
    <t>=NL("Last","Item","Multiple Order Quantity","No.",$B179)</t>
  </si>
  <si>
    <t>=NL("Last","Item Cross Reference","Cross-Reference No.","Cross-Reference Type No.","EAN 13","Item No.",$B179,"unit of measure","ea")</t>
  </si>
  <si>
    <t>=NL("Last","Item Unit of Measure","Height","Item No.",$B179,"code","ea")</t>
  </si>
  <si>
    <t>=NL("Last","Item Unit of Measure","Width","Item No.",$B179,"code","ea")</t>
  </si>
  <si>
    <t>=NL("Last","Item Unit of Measure","Length","Item No.",$B179,"code","ea")</t>
  </si>
  <si>
    <t>=NL("Last","Item Unit of Measure","Weight","Item No.",$B179,"code","ea")</t>
  </si>
  <si>
    <t>=NL("Last","Item","Country/Region of Origin Code","No.",$B179)</t>
  </si>
  <si>
    <t>=NL("Last","Item","Tariff No.","No.",$B179)</t>
  </si>
  <si>
    <t>=NL("Last","Item","Description","No.",$B180)</t>
  </si>
  <si>
    <t>=NL("Last","Sales Price","Unit Price","Item No.",$B180,"Ending Date","''","Sales Code","EUR PRICE")</t>
  </si>
  <si>
    <t>=NL("Last","Item","Multiple Order Quantity","No.",$B180)</t>
  </si>
  <si>
    <t>=NL("Last","Item Cross Reference","Cross-Reference No.","Cross-Reference Type No.","EAN 13","Item No.",$B180,"unit of measure","ea")</t>
  </si>
  <si>
    <t>=NL("Last","Item Unit of Measure","Height","Item No.",$B180,"code","ea")</t>
  </si>
  <si>
    <t>=NL("Last","Item Unit of Measure","Width","Item No.",$B180,"code","ea")</t>
  </si>
  <si>
    <t>=NL("Last","Item Unit of Measure","Length","Item No.",$B180,"code","ea")</t>
  </si>
  <si>
    <t>=NL("Last","Item Unit of Measure","Weight","Item No.",$B180,"code","ea")</t>
  </si>
  <si>
    <t>=NL("Last","Item","Country/Region of Origin Code","No.",$B180)</t>
  </si>
  <si>
    <t>=NL("Last","Item","Tariff No.","No.",$B180)</t>
  </si>
  <si>
    <t>=NL("Last","Item","Description","No.",$B181)</t>
  </si>
  <si>
    <t>=NL("Last","Sales Price","Unit Price","Item No.",$B181,"Ending Date","''","Sales Code","EUR PRICE")</t>
  </si>
  <si>
    <t>=NL("Last","Item","Multiple Order Quantity","No.",$B181)</t>
  </si>
  <si>
    <t>=NL("Last","Item Cross Reference","Cross-Reference No.","Cross-Reference Type No.","EAN 13","Item No.",$B181,"unit of measure","ea")</t>
  </si>
  <si>
    <t>=NL("Last","Item Unit of Measure","Height","Item No.",$B181,"code","ea")</t>
  </si>
  <si>
    <t>=NL("Last","Item Unit of Measure","Width","Item No.",$B181,"code","ea")</t>
  </si>
  <si>
    <t>=NL("Last","Item Unit of Measure","Length","Item No.",$B181,"code","ea")</t>
  </si>
  <si>
    <t>=NL("Last","Item Unit of Measure","Weight","Item No.",$B181,"code","ea")</t>
  </si>
  <si>
    <t>=NL("Last","Item","Country/Region of Origin Code","No.",$B181)</t>
  </si>
  <si>
    <t>=NL("Last","Item","Tariff No.","No.",$B181)</t>
  </si>
  <si>
    <t>=NL("Last","Item","Description","No.",$B182)</t>
  </si>
  <si>
    <t>=NL("Last","Sales Price","Unit Price","Item No.",$B182,"Ending Date","''","Sales Code","EUR PRICE")</t>
  </si>
  <si>
    <t>=NL("Last","Item","Multiple Order Quantity","No.",$B182)</t>
  </si>
  <si>
    <t>=NL("Last","Item Cross Reference","Cross-Reference No.","Cross-Reference Type No.","EAN 13","Item No.",$B182,"unit of measure","ea")</t>
  </si>
  <si>
    <t>=NL("Last","Item Unit of Measure","Height","Item No.",$B182,"code","ea")</t>
  </si>
  <si>
    <t>=NL("Last","Item Unit of Measure","Width","Item No.",$B182,"code","ea")</t>
  </si>
  <si>
    <t>=NL("Last","Item Unit of Measure","Length","Item No.",$B182,"code","ea")</t>
  </si>
  <si>
    <t>=NL("Last","Item Unit of Measure","Weight","Item No.",$B182,"code","ea")</t>
  </si>
  <si>
    <t>=NL("Last","Item","Country/Region of Origin Code","No.",$B182)</t>
  </si>
  <si>
    <t>=NL("Last","Item","Tariff No.","No.",$B182)</t>
  </si>
  <si>
    <t>=NL("Last","Item","Description","No.",$B183)</t>
  </si>
  <si>
    <t>=NL("Last","Sales Price","Unit Price","Item No.",$B183,"Ending Date","''","Sales Code","EUR PRICE")</t>
  </si>
  <si>
    <t>=NL("Last","Item","Multiple Order Quantity","No.",$B183)</t>
  </si>
  <si>
    <t>=NL("Last","Item Cross Reference","Cross-Reference No.","Cross-Reference Type No.","EAN 13","Item No.",$B183,"unit of measure","ea")</t>
  </si>
  <si>
    <t>=NL("Last","Item Unit of Measure","Height","Item No.",$B183,"code","ea")</t>
  </si>
  <si>
    <t>=NL("Last","Item Unit of Measure","Width","Item No.",$B183,"code","ea")</t>
  </si>
  <si>
    <t>=NL("Last","Item Unit of Measure","Length","Item No.",$B183,"code","ea")</t>
  </si>
  <si>
    <t>=NL("Last","Item Unit of Measure","Weight","Item No.",$B183,"code","ea")</t>
  </si>
  <si>
    <t>=NL("Last","Item","Country/Region of Origin Code","No.",$B183)</t>
  </si>
  <si>
    <t>=NL("Last","Item","Tariff No.","No.",$B183)</t>
  </si>
  <si>
    <t>=NL("Last","Item","Description","No.",$B184)</t>
  </si>
  <si>
    <t>=NL("Last","Sales Price","Unit Price","Item No.",$B184,"Ending Date","''","Sales Code","EUR PRICE")</t>
  </si>
  <si>
    <t>=NL("Last","Item","Multiple Order Quantity","No.",$B184)</t>
  </si>
  <si>
    <t>=NL("Last","Item Cross Reference","Cross-Reference No.","Cross-Reference Type No.","EAN 13","Item No.",$B184,"unit of measure","ea")</t>
  </si>
  <si>
    <t>=NL("Last","Item Unit of Measure","Height","Item No.",$B184,"code","ea")</t>
  </si>
  <si>
    <t>=NL("Last","Item Unit of Measure","Width","Item No.",$B184,"code","ea")</t>
  </si>
  <si>
    <t>=NL("Last","Item Unit of Measure","Length","Item No.",$B184,"code","ea")</t>
  </si>
  <si>
    <t>=NL("Last","Item Unit of Measure","Weight","Item No.",$B184,"code","ea")</t>
  </si>
  <si>
    <t>=NL("Last","Item","Country/Region of Origin Code","No.",$B184)</t>
  </si>
  <si>
    <t>=NL("Last","Item","Tariff No.","No.",$B184)</t>
  </si>
  <si>
    <t>=NL("Last","Item","Description","No.",$B185)</t>
  </si>
  <si>
    <t>=NL("Last","Sales Price","Unit Price","Item No.",$B185,"Ending Date","''","Sales Code","EUR PRICE")</t>
  </si>
  <si>
    <t>=NL("Last","Item","Multiple Order Quantity","No.",$B185)</t>
  </si>
  <si>
    <t>=NL("Last","Item Cross Reference","Cross-Reference No.","Cross-Reference Type No.","EAN 13","Item No.",$B185,"unit of measure","ea")</t>
  </si>
  <si>
    <t>=NL("Last","Item Unit of Measure","Height","Item No.",$B185,"code","ea")</t>
  </si>
  <si>
    <t>=NL("Last","Item Unit of Measure","Width","Item No.",$B185,"code","ea")</t>
  </si>
  <si>
    <t>=NL("Last","Item Unit of Measure","Length","Item No.",$B185,"code","ea")</t>
  </si>
  <si>
    <t>=NL("Last","Item Unit of Measure","Weight","Item No.",$B185,"code","ea")</t>
  </si>
  <si>
    <t>=NL("Last","Item","Country/Region of Origin Code","No.",$B185)</t>
  </si>
  <si>
    <t>=NL("Last","Item","Tariff No.","No.",$B185)</t>
  </si>
  <si>
    <t>=NL("Last","Item","Description","No.",$B186)</t>
  </si>
  <si>
    <t>=NL("Last","Sales Price","Unit Price","Item No.",$B186,"Ending Date","''","Sales Code","EUR PRICE")</t>
  </si>
  <si>
    <t>=NL("Last","Item","Multiple Order Quantity","No.",$B186)</t>
  </si>
  <si>
    <t>=NL("Last","Item Cross Reference","Cross-Reference No.","Cross-Reference Type No.","EAN 13","Item No.",$B186,"unit of measure","ea")</t>
  </si>
  <si>
    <t>=NL("Last","Item Unit of Measure","Height","Item No.",$B186,"code","ea")</t>
  </si>
  <si>
    <t>=NL("Last","Item Unit of Measure","Width","Item No.",$B186,"code","ea")</t>
  </si>
  <si>
    <t>=NL("Last","Item Unit of Measure","Length","Item No.",$B186,"code","ea")</t>
  </si>
  <si>
    <t>=NL("Last","Item Unit of Measure","Weight","Item No.",$B186,"code","ea")</t>
  </si>
  <si>
    <t>=NL("Last","Item","Country/Region of Origin Code","No.",$B186)</t>
  </si>
  <si>
    <t>=NL("Last","Item","Tariff No.","No.",$B186)</t>
  </si>
  <si>
    <t>=NL("Last","Item","Description","No.",$B187)</t>
  </si>
  <si>
    <t>=NL("Last","Sales Price","Unit Price","Item No.",$B187,"Ending Date","''","Sales Code","EUR PRICE")</t>
  </si>
  <si>
    <t>=NL("Last","Item","Multiple Order Quantity","No.",$B187)</t>
  </si>
  <si>
    <t>=NL("Last","Item Cross Reference","Cross-Reference No.","Cross-Reference Type No.","EAN 13","Item No.",$B187,"unit of measure","ea")</t>
  </si>
  <si>
    <t>=NL("Last","Item Unit of Measure","Height","Item No.",$B187,"code","ea")</t>
  </si>
  <si>
    <t>=NL("Last","Item Unit of Measure","Width","Item No.",$B187,"code","ea")</t>
  </si>
  <si>
    <t>=NL("Last","Item Unit of Measure","Length","Item No.",$B187,"code","ea")</t>
  </si>
  <si>
    <t>=NL("Last","Item Unit of Measure","Weight","Item No.",$B187,"code","ea")</t>
  </si>
  <si>
    <t>=NL("Last","Item","Country/Region of Origin Code","No.",$B187)</t>
  </si>
  <si>
    <t>=NL("Last","Item","Tariff No.","No.",$B187)</t>
  </si>
  <si>
    <t>=NL("Last","Item","Description","No.",$B188)</t>
  </si>
  <si>
    <t>=NL("Last","Sales Price","Unit Price","Item No.",$B188,"Ending Date","''","Sales Code","EUR PRICE")</t>
  </si>
  <si>
    <t>=NL("Last","Item","Multiple Order Quantity","No.",$B188)</t>
  </si>
  <si>
    <t>=NL("Last","Item Cross Reference","Cross-Reference No.","Cross-Reference Type No.","EAN 13","Item No.",$B188,"unit of measure","ea")</t>
  </si>
  <si>
    <t>=NL("Last","Item Unit of Measure","Height","Item No.",$B188,"code","ea")</t>
  </si>
  <si>
    <t>=NL("Last","Item Unit of Measure","Width","Item No.",$B188,"code","ea")</t>
  </si>
  <si>
    <t>=NL("Last","Item Unit of Measure","Length","Item No.",$B188,"code","ea")</t>
  </si>
  <si>
    <t>=NL("Last","Item Unit of Measure","Weight","Item No.",$B188,"code","ea")</t>
  </si>
  <si>
    <t>=NL("Last","Item","Country/Region of Origin Code","No.",$B188)</t>
  </si>
  <si>
    <t>=NL("Last","Item","Tariff No.","No.",$B188)</t>
  </si>
  <si>
    <t>=NL("Last","Item","Description","No.",$B189)</t>
  </si>
  <si>
    <t>=NL("Last","Sales Price","Unit Price","Item No.",$B189,"Ending Date","''","Sales Code","EUR PRICE")</t>
  </si>
  <si>
    <t>=NL("Last","Item","Multiple Order Quantity","No.",$B189)</t>
  </si>
  <si>
    <t>=NL("Last","Item Cross Reference","Cross-Reference No.","Cross-Reference Type No.","EAN 13","Item No.",$B189,"unit of measure","ea")</t>
  </si>
  <si>
    <t>=NL("Last","Item Unit of Measure","Height","Item No.",$B189,"code","ea")</t>
  </si>
  <si>
    <t>=NL("Last","Item Unit of Measure","Width","Item No.",$B189,"code","ea")</t>
  </si>
  <si>
    <t>=NL("Last","Item Unit of Measure","Length","Item No.",$B189,"code","ea")</t>
  </si>
  <si>
    <t>=NL("Last","Item Unit of Measure","Weight","Item No.",$B189,"code","ea")</t>
  </si>
  <si>
    <t>=NL("Last","Item","Country/Region of Origin Code","No.",$B189)</t>
  </si>
  <si>
    <t>=NL("Last","Item","Tariff No.","No.",$B189)</t>
  </si>
  <si>
    <t>=NL("Last","Item","Description","No.",$B190)</t>
  </si>
  <si>
    <t>=NL("Last","Sales Price","Unit Price","Item No.",$B190,"Ending Date","''","Sales Code","EUR PRICE")</t>
  </si>
  <si>
    <t>=NL("Last","Item","Multiple Order Quantity","No.",$B190)</t>
  </si>
  <si>
    <t>=NL("Last","Item Cross Reference","Cross-Reference No.","Cross-Reference Type No.","EAN 13","Item No.",$B190,"unit of measure","ea")</t>
  </si>
  <si>
    <t>=NL("Last","Item Unit of Measure","Height","Item No.",$B190,"code","ea")</t>
  </si>
  <si>
    <t>=NL("Last","Item Unit of Measure","Width","Item No.",$B190,"code","ea")</t>
  </si>
  <si>
    <t>=NL("Last","Item Unit of Measure","Length","Item No.",$B190,"code","ea")</t>
  </si>
  <si>
    <t>=NL("Last","Item Unit of Measure","Weight","Item No.",$B190,"code","ea")</t>
  </si>
  <si>
    <t>=NL("Last","Item","Country/Region of Origin Code","No.",$B190)</t>
  </si>
  <si>
    <t>=NL("Last","Item","Tariff No.","No.",$B190)</t>
  </si>
  <si>
    <t>=NL("Last","Item","Description","No.",$B191)</t>
  </si>
  <si>
    <t>=NL("Last","Sales Price","Unit Price","Item No.",$B191,"Ending Date","''","Sales Code","EUR PRICE")</t>
  </si>
  <si>
    <t>=NL("Last","Item","Multiple Order Quantity","No.",$B191)</t>
  </si>
  <si>
    <t>=NL("Last","Item Cross Reference","Cross-Reference No.","Cross-Reference Type No.","EAN 13","Item No.",$B191,"unit of measure","ea")</t>
  </si>
  <si>
    <t>=NL("Last","Item Unit of Measure","Height","Item No.",$B191,"code","ea")</t>
  </si>
  <si>
    <t>=NL("Last","Item Unit of Measure","Width","Item No.",$B191,"code","ea")</t>
  </si>
  <si>
    <t>=NL("Last","Item Unit of Measure","Length","Item No.",$B191,"code","ea")</t>
  </si>
  <si>
    <t>=NL("Last","Item Unit of Measure","Weight","Item No.",$B191,"code","ea")</t>
  </si>
  <si>
    <t>=NL("Last","Item","Country/Region of Origin Code","No.",$B191)</t>
  </si>
  <si>
    <t>=NL("Last","Item","Tariff No.","No.",$B191)</t>
  </si>
  <si>
    <t>=NL("Last","Item","Description","No.",$B192)</t>
  </si>
  <si>
    <t>=NL("Last","Sales Price","Unit Price","Item No.",$B192,"Ending Date","''","Sales Code","EUR PRICE")</t>
  </si>
  <si>
    <t>=NL("Last","Item","Multiple Order Quantity","No.",$B192)</t>
  </si>
  <si>
    <t>=NL("Last","Item Cross Reference","Cross-Reference No.","Cross-Reference Type No.","EAN 13","Item No.",$B192,"unit of measure","ea")</t>
  </si>
  <si>
    <t>=NL("Last","Item Unit of Measure","Height","Item No.",$B192,"code","ea")</t>
  </si>
  <si>
    <t>=NL("Last","Item Unit of Measure","Width","Item No.",$B192,"code","ea")</t>
  </si>
  <si>
    <t>=NL("Last","Item Unit of Measure","Length","Item No.",$B192,"code","ea")</t>
  </si>
  <si>
    <t>=NL("Last","Item Unit of Measure","Weight","Item No.",$B192,"code","ea")</t>
  </si>
  <si>
    <t>=NL("Last","Item","Country/Region of Origin Code","No.",$B192)</t>
  </si>
  <si>
    <t>=NL("Last","Item","Tariff No.","No.",$B192)</t>
  </si>
  <si>
    <t>=NL("Last","Item","Description","No.",$B193)</t>
  </si>
  <si>
    <t>=NL("Last","Sales Price","Unit Price","Item No.",$B193,"Ending Date","''","Sales Code","EUR PRICE")</t>
  </si>
  <si>
    <t>=NL("Last","Item","Multiple Order Quantity","No.",$B193)</t>
  </si>
  <si>
    <t>=NL("Last","Item Cross Reference","Cross-Reference No.","Cross-Reference Type No.","EAN 13","Item No.",$B193,"unit of measure","ea")</t>
  </si>
  <si>
    <t>=NL("Last","Item Unit of Measure","Height","Item No.",$B193,"code","ea")</t>
  </si>
  <si>
    <t>=NL("Last","Item Unit of Measure","Width","Item No.",$B193,"code","ea")</t>
  </si>
  <si>
    <t>=NL("Last","Item Unit of Measure","Length","Item No.",$B193,"code","ea")</t>
  </si>
  <si>
    <t>=NL("Last","Item Unit of Measure","Weight","Item No.",$B193,"code","ea")</t>
  </si>
  <si>
    <t>=NL("Last","Item","Country/Region of Origin Code","No.",$B193)</t>
  </si>
  <si>
    <t>=NL("Last","Item","Tariff No.","No.",$B193)</t>
  </si>
  <si>
    <t>=NL("Last","Item","Description","No.",$B194)</t>
  </si>
  <si>
    <t>=NL("Last","Sales Price","Unit Price","Item No.",$B194,"Ending Date","''","Sales Code","EUR PRICE")</t>
  </si>
  <si>
    <t>=NL("Last","Item","Multiple Order Quantity","No.",$B194)</t>
  </si>
  <si>
    <t>=NL("Last","Item Cross Reference","Cross-Reference No.","Cross-Reference Type No.","EAN 13","Item No.",$B194,"unit of measure","ea")</t>
  </si>
  <si>
    <t>=NL("Last","Item Unit of Measure","Height","Item No.",$B194,"code","ea")</t>
  </si>
  <si>
    <t>=NL("Last","Item Unit of Measure","Width","Item No.",$B194,"code","ea")</t>
  </si>
  <si>
    <t>=NL("Last","Item Unit of Measure","Length","Item No.",$B194,"code","ea")</t>
  </si>
  <si>
    <t>=NL("Last","Item Unit of Measure","Weight","Item No.",$B194,"code","ea")</t>
  </si>
  <si>
    <t>=NL("Last","Item","Country/Region of Origin Code","No.",$B194)</t>
  </si>
  <si>
    <t>=NL("Last","Item","Tariff No.","No.",$B194)</t>
  </si>
  <si>
    <t>=NL("Last","Item","Description","No.",$B195)</t>
  </si>
  <si>
    <t>=NL("Last","Sales Price","Unit Price","Item No.",$B195,"Ending Date","''","Sales Code","EUR PRICE")</t>
  </si>
  <si>
    <t>=NL("Last","Item","Multiple Order Quantity","No.",$B195)</t>
  </si>
  <si>
    <t>=NL("Last","Item Cross Reference","Cross-Reference No.","Cross-Reference Type No.","EAN 13","Item No.",$B195,"unit of measure","ea")</t>
  </si>
  <si>
    <t>=NL("Last","Item Unit of Measure","Height","Item No.",$B195,"code","ea")</t>
  </si>
  <si>
    <t>=NL("Last","Item Unit of Measure","Width","Item No.",$B195,"code","ea")</t>
  </si>
  <si>
    <t>=NL("Last","Item Unit of Measure","Length","Item No.",$B195,"code","ea")</t>
  </si>
  <si>
    <t>=NL("Last","Item Unit of Measure","Weight","Item No.",$B195,"code","ea")</t>
  </si>
  <si>
    <t>=NL("Last","Item","Country/Region of Origin Code","No.",$B195)</t>
  </si>
  <si>
    <t>=NL("Last","Item","Tariff No.","No.",$B195)</t>
  </si>
  <si>
    <t>=NL("Last","Item","Description","No.",$B196)</t>
  </si>
  <si>
    <t>=NL("Last","Sales Price","Unit Price","Item No.",$B196,"Ending Date","''","Sales Code","EUR PRICE")</t>
  </si>
  <si>
    <t>=NL("Last","Item","Multiple Order Quantity","No.",$B196)</t>
  </si>
  <si>
    <t>=NL("Last","Item Cross Reference","Cross-Reference No.","Cross-Reference Type No.","EAN 13","Item No.",$B196,"unit of measure","ea")</t>
  </si>
  <si>
    <t>=NL("Last","Item Unit of Measure","Height","Item No.",$B196,"code","ea")</t>
  </si>
  <si>
    <t>=NL("Last","Item Unit of Measure","Width","Item No.",$B196,"code","ea")</t>
  </si>
  <si>
    <t>=NL("Last","Item Unit of Measure","Length","Item No.",$B196,"code","ea")</t>
  </si>
  <si>
    <t>=NL("Last","Item Unit of Measure","Weight","Item No.",$B196,"code","ea")</t>
  </si>
  <si>
    <t>=NL("Last","Item","Country/Region of Origin Code","No.",$B196)</t>
  </si>
  <si>
    <t>=NL("Last","Item","Tariff No.","No.",$B196)</t>
  </si>
  <si>
    <t>=NL("Last","Item","Description","No.",$B197)</t>
  </si>
  <si>
    <t>=NL("Last","Sales Price","Unit Price","Item No.",$B197,"Ending Date","''","Sales Code","EUR PRICE")</t>
  </si>
  <si>
    <t>=NL("Last","Item","Multiple Order Quantity","No.",$B197)</t>
  </si>
  <si>
    <t>=NL("Last","Item Cross Reference","Cross-Reference No.","Cross-Reference Type No.","EAN 13","Item No.",$B197,"unit of measure","ea")</t>
  </si>
  <si>
    <t>=NL("Last","Item Unit of Measure","Height","Item No.",$B197,"code","ea")</t>
  </si>
  <si>
    <t>=NL("Last","Item Unit of Measure","Width","Item No.",$B197,"code","ea")</t>
  </si>
  <si>
    <t>=NL("Last","Item Unit of Measure","Length","Item No.",$B197,"code","ea")</t>
  </si>
  <si>
    <t>=NL("Last","Item Unit of Measure","Weight","Item No.",$B197,"code","ea")</t>
  </si>
  <si>
    <t>=NL("Last","Item","Country/Region of Origin Code","No.",$B197)</t>
  </si>
  <si>
    <t>=NL("Last","Item","Tariff No.","No.",$B197)</t>
  </si>
  <si>
    <t>=NL("Last","Item","Description","No.",$B198)</t>
  </si>
  <si>
    <t>=NL("Last","Sales Price","Unit Price","Item No.",$B198,"Ending Date","''","Sales Code","EUR PRICE")</t>
  </si>
  <si>
    <t>=NL("Last","Item","Multiple Order Quantity","No.",$B198)</t>
  </si>
  <si>
    <t>=NL("Last","Item Cross Reference","Cross-Reference No.","Cross-Reference Type No.","EAN 13","Item No.",$B198,"unit of measure","ea")</t>
  </si>
  <si>
    <t>=NL("Last","Item Unit of Measure","Height","Item No.",$B198,"code","ea")</t>
  </si>
  <si>
    <t>=NL("Last","Item Unit of Measure","Width","Item No.",$B198,"code","ea")</t>
  </si>
  <si>
    <t>=NL("Last","Item Unit of Measure","Length","Item No.",$B198,"code","ea")</t>
  </si>
  <si>
    <t>=NL("Last","Item Unit of Measure","Weight","Item No.",$B198,"code","ea")</t>
  </si>
  <si>
    <t>=NL("Last","Item","Country/Region of Origin Code","No.",$B198)</t>
  </si>
  <si>
    <t>=NL("Last","Item","Tariff No.","No.",$B198)</t>
  </si>
  <si>
    <t>=NL("Last","Item","Description","No.",$B199)</t>
  </si>
  <si>
    <t>=NL("Last","Sales Price","Unit Price","Item No.",$B199,"Ending Date","''","Sales Code","EUR PRICE")</t>
  </si>
  <si>
    <t>=NL("Last","Item","Multiple Order Quantity","No.",$B199)</t>
  </si>
  <si>
    <t>=NL("Last","Item Cross Reference","Cross-Reference No.","Cross-Reference Type No.","EAN 13","Item No.",$B199,"unit of measure","ea")</t>
  </si>
  <si>
    <t>=NL("Last","Item Unit of Measure","Height","Item No.",$B199,"code","ea")</t>
  </si>
  <si>
    <t>=NL("Last","Item Unit of Measure","Width","Item No.",$B199,"code","ea")</t>
  </si>
  <si>
    <t>=NL("Last","Item Unit of Measure","Length","Item No.",$B199,"code","ea")</t>
  </si>
  <si>
    <t>=NL("Last","Item Unit of Measure","Weight","Item No.",$B199,"code","ea")</t>
  </si>
  <si>
    <t>=NL("Last","Item","Country/Region of Origin Code","No.",$B199)</t>
  </si>
  <si>
    <t>=NL("Last","Item","Tariff No.","No.",$B199)</t>
  </si>
  <si>
    <t>=NL("Last","Item","Description","No.",$B200)</t>
  </si>
  <si>
    <t>=NL("Last","Sales Price","Unit Price","Item No.",$B200,"Ending Date","''","Sales Code","EUR PRICE")</t>
  </si>
  <si>
    <t>=NL("Last","Item","Multiple Order Quantity","No.",$B200)</t>
  </si>
  <si>
    <t>=NL("Last","Item Cross Reference","Cross-Reference No.","Cross-Reference Type No.","EAN 13","Item No.",$B200,"unit of measure","ea")</t>
  </si>
  <si>
    <t>=NL("Last","Item Unit of Measure","Height","Item No.",$B200,"code","ea")</t>
  </si>
  <si>
    <t>=NL("Last","Item Unit of Measure","Width","Item No.",$B200,"code","ea")</t>
  </si>
  <si>
    <t>=NL("Last","Item Unit of Measure","Length","Item No.",$B200,"code","ea")</t>
  </si>
  <si>
    <t>=NL("Last","Item Unit of Measure","Weight","Item No.",$B200,"code","ea")</t>
  </si>
  <si>
    <t>=NL("Last","Item","Country/Region of Origin Code","No.",$B200)</t>
  </si>
  <si>
    <t>=NL("Last","Item","Tariff No.","No.",$B200)</t>
  </si>
  <si>
    <t>=NL("Last","Item","Description","No.",$B201)</t>
  </si>
  <si>
    <t>=NL("Last","Sales Price","Unit Price","Item No.",$B201,"Ending Date","''","Sales Code","EUR PRICE")</t>
  </si>
  <si>
    <t>=NL("Last","Item","Multiple Order Quantity","No.",$B201)</t>
  </si>
  <si>
    <t>=NL("Last","Item Cross Reference","Cross-Reference No.","Cross-Reference Type No.","EAN 13","Item No.",$B201,"unit of measure","ea")</t>
  </si>
  <si>
    <t>=NL("Last","Item Unit of Measure","Height","Item No.",$B201,"code","ea")</t>
  </si>
  <si>
    <t>=NL("Last","Item Unit of Measure","Width","Item No.",$B201,"code","ea")</t>
  </si>
  <si>
    <t>=NL("Last","Item Unit of Measure","Length","Item No.",$B201,"code","ea")</t>
  </si>
  <si>
    <t>=NL("Last","Item Unit of Measure","Weight","Item No.",$B201,"code","ea")</t>
  </si>
  <si>
    <t>=NL("Last","Item","Country/Region of Origin Code","No.",$B201)</t>
  </si>
  <si>
    <t>=NL("Last","Item","Tariff No.","No.",$B201)</t>
  </si>
  <si>
    <t>=NL("Last","Item","Description","No.",$B202)</t>
  </si>
  <si>
    <t>=NL("Last","Sales Price","Unit Price","Item No.",$B202,"Ending Date","''","Sales Code","EUR PRICE")</t>
  </si>
  <si>
    <t>=NL("Last","Item","Multiple Order Quantity","No.",$B202)</t>
  </si>
  <si>
    <t>=NL("Last","Item Cross Reference","Cross-Reference No.","Cross-Reference Type No.","EAN 13","Item No.",$B202,"unit of measure","ea")</t>
  </si>
  <si>
    <t>=NL("Last","Item Unit of Measure","Height","Item No.",$B202,"code","ea")</t>
  </si>
  <si>
    <t>=NL("Last","Item Unit of Measure","Width","Item No.",$B202,"code","ea")</t>
  </si>
  <si>
    <t>=NL("Last","Item Unit of Measure","Length","Item No.",$B202,"code","ea")</t>
  </si>
  <si>
    <t>=NL("Last","Item Unit of Measure","Weight","Item No.",$B202,"code","ea")</t>
  </si>
  <si>
    <t>=NL("Last","Item","Country/Region of Origin Code","No.",$B202)</t>
  </si>
  <si>
    <t>=NL("Last","Item","Tariff No.","No.",$B202)</t>
  </si>
  <si>
    <t>=NL("Last","Item","Description","No.",$B203)</t>
  </si>
  <si>
    <t>=NL("Last","Sales Price","Unit Price","Item No.",$B203,"Ending Date","''","Sales Code","EUR PRICE")</t>
  </si>
  <si>
    <t>=NL("Last","Item","Multiple Order Quantity","No.",$B203)</t>
  </si>
  <si>
    <t>=NL("Last","Item Cross Reference","Cross-Reference No.","Cross-Reference Type No.","EAN 13","Item No.",$B203,"unit of measure","ea")</t>
  </si>
  <si>
    <t>=NL("Last","Item Unit of Measure","Height","Item No.",$B203,"code","ea")</t>
  </si>
  <si>
    <t>=NL("Last","Item Unit of Measure","Width","Item No.",$B203,"code","ea")</t>
  </si>
  <si>
    <t>=NL("Last","Item Unit of Measure","Length","Item No.",$B203,"code","ea")</t>
  </si>
  <si>
    <t>=NL("Last","Item Unit of Measure","Weight","Item No.",$B203,"code","ea")</t>
  </si>
  <si>
    <t>=NL("Last","Item","Country/Region of Origin Code","No.",$B203)</t>
  </si>
  <si>
    <t>=NL("Last","Item","Tariff No.","No.",$B203)</t>
  </si>
  <si>
    <t>=NL("Last","Item","Description","No.",$B204)</t>
  </si>
  <si>
    <t>=NL("Last","Sales Price","Unit Price","Item No.",$B204,"Ending Date","''","Sales Code","EUR PRICE")</t>
  </si>
  <si>
    <t>=NL("Last","Item","Multiple Order Quantity","No.",$B204)</t>
  </si>
  <si>
    <t>=NL("Last","Item Cross Reference","Cross-Reference No.","Cross-Reference Type No.","EAN 13","Item No.",$B204,"unit of measure","ea")</t>
  </si>
  <si>
    <t>=NL("Last","Item Unit of Measure","Height","Item No.",$B204,"code","ea")</t>
  </si>
  <si>
    <t>=NL("Last","Item Unit of Measure","Width","Item No.",$B204,"code","ea")</t>
  </si>
  <si>
    <t>=NL("Last","Item Unit of Measure","Length","Item No.",$B204,"code","ea")</t>
  </si>
  <si>
    <t>=NL("Last","Item Unit of Measure","Weight","Item No.",$B204,"code","ea")</t>
  </si>
  <si>
    <t>=NL("Last","Item","Country/Region of Origin Code","No.",$B204)</t>
  </si>
  <si>
    <t>=NL("Last","Item","Tariff No.","No.",$B204)</t>
  </si>
  <si>
    <t>=NL("Last","Item","Description","No.",$B205)</t>
  </si>
  <si>
    <t>=NL("Last","Sales Price","Unit Price","Item No.",$B205,"Ending Date","''","Sales Code","EUR PRICE")</t>
  </si>
  <si>
    <t>=NL("Last","Item","Multiple Order Quantity","No.",$B205)</t>
  </si>
  <si>
    <t>=NL("Last","Item Cross Reference","Cross-Reference No.","Cross-Reference Type No.","EAN 13","Item No.",$B205,"unit of measure","ea")</t>
  </si>
  <si>
    <t>=NL("Last","Item Unit of Measure","Height","Item No.",$B205,"code","ea")</t>
  </si>
  <si>
    <t>=NL("Last","Item Unit of Measure","Width","Item No.",$B205,"code","ea")</t>
  </si>
  <si>
    <t>=NL("Last","Item Unit of Measure","Length","Item No.",$B205,"code","ea")</t>
  </si>
  <si>
    <t>=NL("Last","Item Unit of Measure","Weight","Item No.",$B205,"code","ea")</t>
  </si>
  <si>
    <t>=NL("Last","Item","Country/Region of Origin Code","No.",$B205)</t>
  </si>
  <si>
    <t>=NL("Last","Item","Tariff No.","No.",$B205)</t>
  </si>
  <si>
    <t>=NL("Last","Item","Description","No.",$B206)</t>
  </si>
  <si>
    <t>=NL("Last","Sales Price","Unit Price","Item No.",$B206,"Ending Date","''","Sales Code","EUR PRICE")</t>
  </si>
  <si>
    <t>=NL("Last","Item","Multiple Order Quantity","No.",$B206)</t>
  </si>
  <si>
    <t>=NL("Last","Item Cross Reference","Cross-Reference No.","Cross-Reference Type No.","EAN 13","Item No.",$B206,"unit of measure","ea")</t>
  </si>
  <si>
    <t>=NL("Last","Item Unit of Measure","Height","Item No.",$B206,"code","ea")</t>
  </si>
  <si>
    <t>=NL("Last","Item Unit of Measure","Width","Item No.",$B206,"code","ea")</t>
  </si>
  <si>
    <t>=NL("Last","Item Unit of Measure","Length","Item No.",$B206,"code","ea")</t>
  </si>
  <si>
    <t>=NL("Last","Item Unit of Measure","Weight","Item No.",$B206,"code","ea")</t>
  </si>
  <si>
    <t>=NL("Last","Item","Country/Region of Origin Code","No.",$B206)</t>
  </si>
  <si>
    <t>=NL("Last","Item","Tariff No.","No.",$B206)</t>
  </si>
  <si>
    <t>=NL("Last","Item","Description","No.",$B207)</t>
  </si>
  <si>
    <t>=NL("Last","Sales Price","Unit Price","Item No.",$B207,"Ending Date","''","Sales Code","EUR PRICE")</t>
  </si>
  <si>
    <t>=NL("Last","Item","Multiple Order Quantity","No.",$B207)</t>
  </si>
  <si>
    <t>=NL("Last","Item Cross Reference","Cross-Reference No.","Cross-Reference Type No.","EAN 13","Item No.",$B207,"unit of measure","ea")</t>
  </si>
  <si>
    <t>=NL("Last","Item Unit of Measure","Height","Item No.",$B207,"code","ea")</t>
  </si>
  <si>
    <t>=NL("Last","Item Unit of Measure","Width","Item No.",$B207,"code","ea")</t>
  </si>
  <si>
    <t>=NL("Last","Item Unit of Measure","Length","Item No.",$B207,"code","ea")</t>
  </si>
  <si>
    <t>=NL("Last","Item Unit of Measure","Weight","Item No.",$B207,"code","ea")</t>
  </si>
  <si>
    <t>=NL("Last","Item","Country/Region of Origin Code","No.",$B207)</t>
  </si>
  <si>
    <t>=NL("Last","Item","Tariff No.","No.",$B207)</t>
  </si>
  <si>
    <t>=NL("Last","Item","Description","No.",$B208)</t>
  </si>
  <si>
    <t>=NL("Last","Sales Price","Unit Price","Item No.",$B208,"Ending Date","''","Sales Code","EUR PRICE")</t>
  </si>
  <si>
    <t>=NL("Last","Item","Multiple Order Quantity","No.",$B208)</t>
  </si>
  <si>
    <t>=NL("Last","Item Cross Reference","Cross-Reference No.","Cross-Reference Type No.","EAN 13","Item No.",$B208,"unit of measure","ea")</t>
  </si>
  <si>
    <t>=NL("Last","Item Unit of Measure","Height","Item No.",$B208,"code","ea")</t>
  </si>
  <si>
    <t>=NL("Last","Item Unit of Measure","Width","Item No.",$B208,"code","ea")</t>
  </si>
  <si>
    <t>=NL("Last","Item Unit of Measure","Length","Item No.",$B208,"code","ea")</t>
  </si>
  <si>
    <t>=NL("Last","Item Unit of Measure","Weight","Item No.",$B208,"code","ea")</t>
  </si>
  <si>
    <t>=NL("Last","Item","Country/Region of Origin Code","No.",$B208)</t>
  </si>
  <si>
    <t>=NL("Last","Item","Tariff No.","No.",$B208)</t>
  </si>
  <si>
    <t>=NL("Last","Item","Description","No.",$B209)</t>
  </si>
  <si>
    <t>=NL("Last","Sales Price","Unit Price","Item No.",$B209,"Ending Date","''","Sales Code","EUR PRICE")</t>
  </si>
  <si>
    <t>=NL("Last","Item","Multiple Order Quantity","No.",$B209)</t>
  </si>
  <si>
    <t>=NL("Last","Item Cross Reference","Cross-Reference No.","Cross-Reference Type No.","EAN 13","Item No.",$B209,"unit of measure","ea")</t>
  </si>
  <si>
    <t>=NL("Last","Item Unit of Measure","Height","Item No.",$B209,"code","ea")</t>
  </si>
  <si>
    <t>=NL("Last","Item Unit of Measure","Width","Item No.",$B209,"code","ea")</t>
  </si>
  <si>
    <t>=NL("Last","Item Unit of Measure","Length","Item No.",$B209,"code","ea")</t>
  </si>
  <si>
    <t>=NL("Last","Item Unit of Measure","Weight","Item No.",$B209,"code","ea")</t>
  </si>
  <si>
    <t>=NL("Last","Item","Country/Region of Origin Code","No.",$B209)</t>
  </si>
  <si>
    <t>=NL("Last","Item","Tariff No.","No.",$B209)</t>
  </si>
  <si>
    <t>=NL("Last","Item","Description","No.",$B210)</t>
  </si>
  <si>
    <t>=NL("Last","Sales Price","Unit Price","Item No.",$B210,"Ending Date","''","Sales Code","EUR PRICE")</t>
  </si>
  <si>
    <t>=NL("Last","Item","Multiple Order Quantity","No.",$B210)</t>
  </si>
  <si>
    <t>=NL("Last","Item Cross Reference","Cross-Reference No.","Cross-Reference Type No.","EAN 13","Item No.",$B210,"unit of measure","ea")</t>
  </si>
  <si>
    <t>=NL("Last","Item Unit of Measure","Height","Item No.",$B210,"code","ea")</t>
  </si>
  <si>
    <t>=NL("Last","Item Unit of Measure","Width","Item No.",$B210,"code","ea")</t>
  </si>
  <si>
    <t>=NL("Last","Item Unit of Measure","Length","Item No.",$B210,"code","ea")</t>
  </si>
  <si>
    <t>=NL("Last","Item Unit of Measure","Weight","Item No.",$B210,"code","ea")</t>
  </si>
  <si>
    <t>=NL("Last","Item","Country/Region of Origin Code","No.",$B210)</t>
  </si>
  <si>
    <t>=NL("Last","Item","Tariff No.","No.",$B210)</t>
  </si>
  <si>
    <t>=NL("Last","Item","Description","No.",$B211)</t>
  </si>
  <si>
    <t>=NL("Last","Sales Price","Unit Price","Item No.",$B211,"Ending Date","''","Sales Code","EUR PRICE")</t>
  </si>
  <si>
    <t>=NL("Last","Item","Multiple Order Quantity","No.",$B211)</t>
  </si>
  <si>
    <t>=NL("Last","Item Cross Reference","Cross-Reference No.","Cross-Reference Type No.","EAN 13","Item No.",$B211,"unit of measure","ea")</t>
  </si>
  <si>
    <t>=NL("Last","Item Unit of Measure","Height","Item No.",$B211,"code","ea")</t>
  </si>
  <si>
    <t>=NL("Last","Item Unit of Measure","Width","Item No.",$B211,"code","ea")</t>
  </si>
  <si>
    <t>=NL("Last","Item Unit of Measure","Length","Item No.",$B211,"code","ea")</t>
  </si>
  <si>
    <t>=NL("Last","Item Unit of Measure","Weight","Item No.",$B211,"code","ea")</t>
  </si>
  <si>
    <t>=NL("Last","Item","Country/Region of Origin Code","No.",$B211)</t>
  </si>
  <si>
    <t>=NL("Last","Item","Tariff No.","No.",$B211)</t>
  </si>
  <si>
    <t>=NL("Last","Item","Description","No.",$B212)</t>
  </si>
  <si>
    <t>=NL("Last","Sales Price","Unit Price","Item No.",$B212,"Ending Date","''","Sales Code","EUR PRICE")</t>
  </si>
  <si>
    <t>=NL("Last","Item","Multiple Order Quantity","No.",$B212)</t>
  </si>
  <si>
    <t>=NL("Last","Item Cross Reference","Cross-Reference No.","Cross-Reference Type No.","EAN 13","Item No.",$B212,"unit of measure","ea")</t>
  </si>
  <si>
    <t>=NL("Last","Item Unit of Measure","Height","Item No.",$B212,"code","ea")</t>
  </si>
  <si>
    <t>=NL("Last","Item Unit of Measure","Width","Item No.",$B212,"code","ea")</t>
  </si>
  <si>
    <t>=NL("Last","Item Unit of Measure","Length","Item No.",$B212,"code","ea")</t>
  </si>
  <si>
    <t>=NL("Last","Item Unit of Measure","Weight","Item No.",$B212,"code","ea")</t>
  </si>
  <si>
    <t>=NL("Last","Item","Country/Region of Origin Code","No.",$B212)</t>
  </si>
  <si>
    <t>=NL("Last","Item","Tariff No.","No.",$B212)</t>
  </si>
  <si>
    <t>=NL("Last","Item","Description","No.",$B213)</t>
  </si>
  <si>
    <t>=NL("Last","Sales Price","Unit Price","Item No.",$B213,"Ending Date","''","Sales Code","EUR PRICE")</t>
  </si>
  <si>
    <t>=NL("Last","Item","Multiple Order Quantity","No.",$B213)</t>
  </si>
  <si>
    <t>=NL("Last","Item Cross Reference","Cross-Reference No.","Cross-Reference Type No.","EAN 13","Item No.",$B213,"unit of measure","ea")</t>
  </si>
  <si>
    <t>=NL("Last","Item Unit of Measure","Height","Item No.",$B213,"code","ea")</t>
  </si>
  <si>
    <t>=NL("Last","Item Unit of Measure","Width","Item No.",$B213,"code","ea")</t>
  </si>
  <si>
    <t>=NL("Last","Item Unit of Measure","Length","Item No.",$B213,"code","ea")</t>
  </si>
  <si>
    <t>=NL("Last","Item Unit of Measure","Weight","Item No.",$B213,"code","ea")</t>
  </si>
  <si>
    <t>=NL("Last","Item","Country/Region of Origin Code","No.",$B213)</t>
  </si>
  <si>
    <t>=NL("Last","Item","Tariff No.","No.",$B213)</t>
  </si>
  <si>
    <t>=NL("Last","Item","Description","No.",$B214)</t>
  </si>
  <si>
    <t>=NL("Last","Sales Price","Unit Price","Item No.",$B214,"Ending Date","''","Sales Code","EUR PRICE")</t>
  </si>
  <si>
    <t>=NL("Last","Item","Multiple Order Quantity","No.",$B214)</t>
  </si>
  <si>
    <t>=NL("Last","Item Cross Reference","Cross-Reference No.","Cross-Reference Type No.","EAN 13","Item No.",$B214,"unit of measure","ea")</t>
  </si>
  <si>
    <t>=NL("Last","Item Unit of Measure","Height","Item No.",$B214,"code","ea")</t>
  </si>
  <si>
    <t>=NL("Last","Item Unit of Measure","Width","Item No.",$B214,"code","ea")</t>
  </si>
  <si>
    <t>=NL("Last","Item Unit of Measure","Length","Item No.",$B214,"code","ea")</t>
  </si>
  <si>
    <t>=NL("Last","Item Unit of Measure","Weight","Item No.",$B214,"code","ea")</t>
  </si>
  <si>
    <t>=NL("Last","Item","Country/Region of Origin Code","No.",$B214)</t>
  </si>
  <si>
    <t>=NL("Last","Item","Tariff No.","No.",$B214)</t>
  </si>
  <si>
    <t>=NL("Last","Item","Description","No.",$B215)</t>
  </si>
  <si>
    <t>=NL("Last","Sales Price","Unit Price","Item No.",$B215,"Ending Date","''","Sales Code","EUR PRICE")</t>
  </si>
  <si>
    <t>=NL("Last","Item","Multiple Order Quantity","No.",$B215)</t>
  </si>
  <si>
    <t>=NL("Last","Item Cross Reference","Cross-Reference No.","Cross-Reference Type No.","EAN 13","Item No.",$B215,"unit of measure","ea")</t>
  </si>
  <si>
    <t>=NL("Last","Item Unit of Measure","Height","Item No.",$B215,"code","ea")</t>
  </si>
  <si>
    <t>=NL("Last","Item Unit of Measure","Width","Item No.",$B215,"code","ea")</t>
  </si>
  <si>
    <t>=NL("Last","Item Unit of Measure","Length","Item No.",$B215,"code","ea")</t>
  </si>
  <si>
    <t>=NL("Last","Item Unit of Measure","Weight","Item No.",$B215,"code","ea")</t>
  </si>
  <si>
    <t>=NL("Last","Item","Country/Region of Origin Code","No.",$B215)</t>
  </si>
  <si>
    <t>=NL("Last","Item","Tariff No.","No.",$B215)</t>
  </si>
  <si>
    <t>=NL("Last","Item","Description","No.",$B216)</t>
  </si>
  <si>
    <t>=NL("Last","Sales Price","Unit Price","Item No.",$B216,"Ending Date","''","Sales Code","EUR PRICE")</t>
  </si>
  <si>
    <t>=NL("Last","Item","Multiple Order Quantity","No.",$B216)</t>
  </si>
  <si>
    <t>=NL("Last","Item Cross Reference","Cross-Reference No.","Cross-Reference Type No.","EAN 13","Item No.",$B216,"unit of measure","ea")</t>
  </si>
  <si>
    <t>=NL("Last","Item Unit of Measure","Height","Item No.",$B216,"code","ea")</t>
  </si>
  <si>
    <t>=NL("Last","Item Unit of Measure","Width","Item No.",$B216,"code","ea")</t>
  </si>
  <si>
    <t>=NL("Last","Item Unit of Measure","Length","Item No.",$B216,"code","ea")</t>
  </si>
  <si>
    <t>=NL("Last","Item Unit of Measure","Weight","Item No.",$B216,"code","ea")</t>
  </si>
  <si>
    <t>=NL("Last","Item","Country/Region of Origin Code","No.",$B216)</t>
  </si>
  <si>
    <t>=NL("Last","Item","Tariff No.","No.",$B216)</t>
  </si>
  <si>
    <t>=NL("Last","Item","Description","No.",$B217)</t>
  </si>
  <si>
    <t>=NL("Last","Sales Price","Unit Price","Item No.",$B217,"Ending Date","''","Sales Code","EUR PRICE")</t>
  </si>
  <si>
    <t>=NL("Last","Item","Multiple Order Quantity","No.",$B217)</t>
  </si>
  <si>
    <t>=NL("Last","Item Cross Reference","Cross-Reference No.","Cross-Reference Type No.","EAN 13","Item No.",$B217,"unit of measure","ea")</t>
  </si>
  <si>
    <t>=NL("Last","Item Unit of Measure","Height","Item No.",$B217,"code","ea")</t>
  </si>
  <si>
    <t>=NL("Last","Item Unit of Measure","Width","Item No.",$B217,"code","ea")</t>
  </si>
  <si>
    <t>=NL("Last","Item Unit of Measure","Length","Item No.",$B217,"code","ea")</t>
  </si>
  <si>
    <t>=NL("Last","Item Unit of Measure","Weight","Item No.",$B217,"code","ea")</t>
  </si>
  <si>
    <t>=NL("Last","Item","Country/Region of Origin Code","No.",$B217)</t>
  </si>
  <si>
    <t>=NL("Last","Item","Tariff No.","No.",$B217)</t>
  </si>
  <si>
    <t>=NL("Last","Item","Description","No.",$B218)</t>
  </si>
  <si>
    <t>=NL("Last","Sales Price","Unit Price","Item No.",$B218,"Ending Date","''","Sales Code","EUR PRICE")</t>
  </si>
  <si>
    <t>=NL("Last","Item","Multiple Order Quantity","No.",$B218)</t>
  </si>
  <si>
    <t>=NL("Last","Item Cross Reference","Cross-Reference No.","Cross-Reference Type No.","EAN 13","Item No.",$B218,"unit of measure","ea")</t>
  </si>
  <si>
    <t>=NL("Last","Item Unit of Measure","Height","Item No.",$B218,"code","ea")</t>
  </si>
  <si>
    <t>=NL("Last","Item Unit of Measure","Width","Item No.",$B218,"code","ea")</t>
  </si>
  <si>
    <t>=NL("Last","Item Unit of Measure","Length","Item No.",$B218,"code","ea")</t>
  </si>
  <si>
    <t>=NL("Last","Item Unit of Measure","Weight","Item No.",$B218,"code","ea")</t>
  </si>
  <si>
    <t>=NL("Last","Item","Country/Region of Origin Code","No.",$B218)</t>
  </si>
  <si>
    <t>=NL("Last","Item","Tariff No.","No.",$B218)</t>
  </si>
  <si>
    <t>=NL("Last","Item","Description","No.",$B219)</t>
  </si>
  <si>
    <t>=NL("Last","Sales Price","Unit Price","Item No.",$B219,"Ending Date","''","Sales Code","EUR PRICE")</t>
  </si>
  <si>
    <t>=NL("Last","Item","Multiple Order Quantity","No.",$B219)</t>
  </si>
  <si>
    <t>=NL("Last","Item Cross Reference","Cross-Reference No.","Cross-Reference Type No.","EAN 13","Item No.",$B219,"unit of measure","ea")</t>
  </si>
  <si>
    <t>=NL("Last","Item Unit of Measure","Height","Item No.",$B219,"code","ea")</t>
  </si>
  <si>
    <t>=NL("Last","Item Unit of Measure","Width","Item No.",$B219,"code","ea")</t>
  </si>
  <si>
    <t>=NL("Last","Item Unit of Measure","Length","Item No.",$B219,"code","ea")</t>
  </si>
  <si>
    <t>=NL("Last","Item Unit of Measure","Weight","Item No.",$B219,"code","ea")</t>
  </si>
  <si>
    <t>=NL("Last","Item","Country/Region of Origin Code","No.",$B219)</t>
  </si>
  <si>
    <t>=NL("Last","Item","Tariff No.","No.",$B219)</t>
  </si>
  <si>
    <t>=NL("Last","Item","Description","No.",$B220)</t>
  </si>
  <si>
    <t>=NL("Last","Sales Price","Unit Price","Item No.",$B220,"Ending Date","''","Sales Code","EUR PRICE")</t>
  </si>
  <si>
    <t>=NL("Last","Item","Multiple Order Quantity","No.",$B220)</t>
  </si>
  <si>
    <t>=NL("Last","Item Cross Reference","Cross-Reference No.","Cross-Reference Type No.","EAN 13","Item No.",$B220,"unit of measure","ea")</t>
  </si>
  <si>
    <t>=NL("Last","Item Unit of Measure","Height","Item No.",$B220,"code","ea")</t>
  </si>
  <si>
    <t>=NL("Last","Item Unit of Measure","Width","Item No.",$B220,"code","ea")</t>
  </si>
  <si>
    <t>=NL("Last","Item Unit of Measure","Length","Item No.",$B220,"code","ea")</t>
  </si>
  <si>
    <t>=NL("Last","Item Unit of Measure","Weight","Item No.",$B220,"code","ea")</t>
  </si>
  <si>
    <t>=NL("Last","Item","Country/Region of Origin Code","No.",$B220)</t>
  </si>
  <si>
    <t>=NL("Last","Item","Tariff No.","No.",$B220)</t>
  </si>
  <si>
    <t>=NL("Last","Item","Description","No.",$B221)</t>
  </si>
  <si>
    <t>=NL("Last","Sales Price","Unit Price","Item No.",$B221,"Ending Date","''","Sales Code","EUR PRICE")</t>
  </si>
  <si>
    <t>=NL("Last","Item","Multiple Order Quantity","No.",$B221)</t>
  </si>
  <si>
    <t>=NL("Last","Item Cross Reference","Cross-Reference No.","Cross-Reference Type No.","EAN 13","Item No.",$B221,"unit of measure","ea")</t>
  </si>
  <si>
    <t>=NL("Last","Item Unit of Measure","Height","Item No.",$B221,"code","ea")</t>
  </si>
  <si>
    <t>=NL("Last","Item Unit of Measure","Width","Item No.",$B221,"code","ea")</t>
  </si>
  <si>
    <t>=NL("Last","Item Unit of Measure","Length","Item No.",$B221,"code","ea")</t>
  </si>
  <si>
    <t>=NL("Last","Item Unit of Measure","Weight","Item No.",$B221,"code","ea")</t>
  </si>
  <si>
    <t>=NL("Last","Item","Country/Region of Origin Code","No.",$B221)</t>
  </si>
  <si>
    <t>=NL("Last","Item","Tariff No.","No.",$B221)</t>
  </si>
  <si>
    <t>=NL("Last","Item","Description","No.",$B222)</t>
  </si>
  <si>
    <t>=NL("Last","Sales Price","Unit Price","Item No.",$B222,"Ending Date","''","Sales Code","EUR PRICE")</t>
  </si>
  <si>
    <t>=NL("Last","Item","Multiple Order Quantity","No.",$B222)</t>
  </si>
  <si>
    <t>=NL("Last","Item Cross Reference","Cross-Reference No.","Cross-Reference Type No.","EAN 13","Item No.",$B222,"unit of measure","ea")</t>
  </si>
  <si>
    <t>=NL("Last","Item Unit of Measure","Height","Item No.",$B222,"code","ea")</t>
  </si>
  <si>
    <t>=NL("Last","Item Unit of Measure","Width","Item No.",$B222,"code","ea")</t>
  </si>
  <si>
    <t>=NL("Last","Item Unit of Measure","Length","Item No.",$B222,"code","ea")</t>
  </si>
  <si>
    <t>=NL("Last","Item Unit of Measure","Weight","Item No.",$B222,"code","ea")</t>
  </si>
  <si>
    <t>=NL("Last","Item","Country/Region of Origin Code","No.",$B222)</t>
  </si>
  <si>
    <t>=NL("Last","Item","Tariff No.","No.",$B222)</t>
  </si>
  <si>
    <t>=NL("Last","Item","Description","No.",$B223)</t>
  </si>
  <si>
    <t>=NL("Last","Sales Price","Unit Price","Item No.",$B223,"Ending Date","''","Sales Code","EUR PRICE")</t>
  </si>
  <si>
    <t>=NL("Last","Item","Multiple Order Quantity","No.",$B223)</t>
  </si>
  <si>
    <t>=NL("Last","Item Cross Reference","Cross-Reference No.","Cross-Reference Type No.","EAN 13","Item No.",$B223,"unit of measure","ea")</t>
  </si>
  <si>
    <t>=NL("Last","Item Unit of Measure","Height","Item No.",$B223,"code","ea")</t>
  </si>
  <si>
    <t>=NL("Last","Item Unit of Measure","Width","Item No.",$B223,"code","ea")</t>
  </si>
  <si>
    <t>=NL("Last","Item Unit of Measure","Length","Item No.",$B223,"code","ea")</t>
  </si>
  <si>
    <t>=NL("Last","Item Unit of Measure","Weight","Item No.",$B223,"code","ea")</t>
  </si>
  <si>
    <t>=NL("Last","Item","Country/Region of Origin Code","No.",$B223)</t>
  </si>
  <si>
    <t>=NL("Last","Item","Tariff No.","No.",$B223)</t>
  </si>
  <si>
    <t>=NL("Last","Item","Description","No.",$B224)</t>
  </si>
  <si>
    <t>=NL("Last","Sales Price","Unit Price","Item No.",$B224,"Ending Date","''","Sales Code","EUR PRICE")</t>
  </si>
  <si>
    <t>=NL("Last","Item","Multiple Order Quantity","No.",$B224)</t>
  </si>
  <si>
    <t>=NL("Last","Item Cross Reference","Cross-Reference No.","Cross-Reference Type No.","EAN 13","Item No.",$B224,"unit of measure","ea")</t>
  </si>
  <si>
    <t>=NL("Last","Item Unit of Measure","Height","Item No.",$B224,"code","ea")</t>
  </si>
  <si>
    <t>=NL("Last","Item Unit of Measure","Width","Item No.",$B224,"code","ea")</t>
  </si>
  <si>
    <t>=NL("Last","Item Unit of Measure","Length","Item No.",$B224,"code","ea")</t>
  </si>
  <si>
    <t>=NL("Last","Item Unit of Measure","Weight","Item No.",$B224,"code","ea")</t>
  </si>
  <si>
    <t>=NL("Last","Item","Country/Region of Origin Code","No.",$B224)</t>
  </si>
  <si>
    <t>=NL("Last","Item","Tariff No.","No.",$B224)</t>
  </si>
  <si>
    <t>=NL("Last","Item","Description","No.",$B225)</t>
  </si>
  <si>
    <t>=NL("Last","Sales Price","Unit Price","Item No.",$B225,"Ending Date","''","Sales Code","EUR PRICE")</t>
  </si>
  <si>
    <t>=NL("Last","Item","Multiple Order Quantity","No.",$B225)</t>
  </si>
  <si>
    <t>=NL("Last","Item Cross Reference","Cross-Reference No.","Cross-Reference Type No.","EAN 13","Item No.",$B225,"unit of measure","ea")</t>
  </si>
  <si>
    <t>=NL("Last","Item Unit of Measure","Height","Item No.",$B225,"code","ea")</t>
  </si>
  <si>
    <t>=NL("Last","Item Unit of Measure","Width","Item No.",$B225,"code","ea")</t>
  </si>
  <si>
    <t>=NL("Last","Item Unit of Measure","Length","Item No.",$B225,"code","ea")</t>
  </si>
  <si>
    <t>=NL("Last","Item Unit of Measure","Weight","Item No.",$B225,"code","ea")</t>
  </si>
  <si>
    <t>=NL("Last","Item","Country/Region of Origin Code","No.",$B225)</t>
  </si>
  <si>
    <t>=NL("Last","Item","Tariff No.","No.",$B225)</t>
  </si>
  <si>
    <t>=NL("Last","Item","Description","No.",$B226)</t>
  </si>
  <si>
    <t>=NL("Last","Sales Price","Unit Price","Item No.",$B226,"Ending Date","''","Sales Code","EUR PRICE")</t>
  </si>
  <si>
    <t>=NL("Last","Item","Multiple Order Quantity","No.",$B226)</t>
  </si>
  <si>
    <t>=NL("Last","Item Cross Reference","Cross-Reference No.","Cross-Reference Type No.","EAN 13","Item No.",$B226,"unit of measure","ea")</t>
  </si>
  <si>
    <t>=NL("Last","Item Unit of Measure","Height","Item No.",$B226,"code","ea")</t>
  </si>
  <si>
    <t>=NL("Last","Item Unit of Measure","Width","Item No.",$B226,"code","ea")</t>
  </si>
  <si>
    <t>=NL("Last","Item Unit of Measure","Length","Item No.",$B226,"code","ea")</t>
  </si>
  <si>
    <t>=NL("Last","Item Unit of Measure","Weight","Item No.",$B226,"code","ea")</t>
  </si>
  <si>
    <t>=NL("Last","Item","Country/Region of Origin Code","No.",$B226)</t>
  </si>
  <si>
    <t>=NL("Last","Item","Tariff No.","No.",$B226)</t>
  </si>
  <si>
    <t>=NL("Last","Item","Description","No.",$B227)</t>
  </si>
  <si>
    <t>=NL("Last","Sales Price","Unit Price","Item No.",$B227,"Ending Date","''","Sales Code","EUR PRICE")</t>
  </si>
  <si>
    <t>=NL("Last","Item","Multiple Order Quantity","No.",$B227)</t>
  </si>
  <si>
    <t>=NL("Last","Item Cross Reference","Cross-Reference No.","Cross-Reference Type No.","EAN 13","Item No.",$B227,"unit of measure","ea")</t>
  </si>
  <si>
    <t>=NL("Last","Item Unit of Measure","Height","Item No.",$B227,"code","ea")</t>
  </si>
  <si>
    <t>=NL("Last","Item Unit of Measure","Width","Item No.",$B227,"code","ea")</t>
  </si>
  <si>
    <t>=NL("Last","Item Unit of Measure","Length","Item No.",$B227,"code","ea")</t>
  </si>
  <si>
    <t>=NL("Last","Item Unit of Measure","Weight","Item No.",$B227,"code","ea")</t>
  </si>
  <si>
    <t>=NL("Last","Item","Country/Region of Origin Code","No.",$B227)</t>
  </si>
  <si>
    <t>=NL("Last","Item","Tariff No.","No.",$B227)</t>
  </si>
  <si>
    <t>=NL("Last","Item","Description","No.",$B228)</t>
  </si>
  <si>
    <t>=NL("Last","Sales Price","Unit Price","Item No.",$B228,"Ending Date","''","Sales Code","EUR PRICE")</t>
  </si>
  <si>
    <t>=NL("Last","Item","Multiple Order Quantity","No.",$B228)</t>
  </si>
  <si>
    <t>=NL("Last","Item Cross Reference","Cross-Reference No.","Cross-Reference Type No.","EAN 13","Item No.",$B228,"unit of measure","ea")</t>
  </si>
  <si>
    <t>=NL("Last","Item Unit of Measure","Height","Item No.",$B228,"code","ea")</t>
  </si>
  <si>
    <t>=NL("Last","Item Unit of Measure","Width","Item No.",$B228,"code","ea")</t>
  </si>
  <si>
    <t>=NL("Last","Item Unit of Measure","Length","Item No.",$B228,"code","ea")</t>
  </si>
  <si>
    <t>=NL("Last","Item Unit of Measure","Weight","Item No.",$B228,"code","ea")</t>
  </si>
  <si>
    <t>=NL("Last","Item","Country/Region of Origin Code","No.",$B228)</t>
  </si>
  <si>
    <t>=NL("Last","Item","Tariff No.","No.",$B228)</t>
  </si>
  <si>
    <t>=NL("Last","Item","Description","No.",$B229)</t>
  </si>
  <si>
    <t>=NL("Last","Sales Price","Unit Price","Item No.",$B229,"Ending Date","''","Sales Code","EUR PRICE")</t>
  </si>
  <si>
    <t>=NL("Last","Item","Multiple Order Quantity","No.",$B229)</t>
  </si>
  <si>
    <t>=NL("Last","Item Cross Reference","Cross-Reference No.","Cross-Reference Type No.","EAN 13","Item No.",$B229,"unit of measure","ea")</t>
  </si>
  <si>
    <t>=NL("Last","Item Unit of Measure","Height","Item No.",$B229,"code","ea")</t>
  </si>
  <si>
    <t>=NL("Last","Item Unit of Measure","Width","Item No.",$B229,"code","ea")</t>
  </si>
  <si>
    <t>=NL("Last","Item Unit of Measure","Length","Item No.",$B229,"code","ea")</t>
  </si>
  <si>
    <t>=NL("Last","Item Unit of Measure","Weight","Item No.",$B229,"code","ea")</t>
  </si>
  <si>
    <t>=NL("Last","Item","Country/Region of Origin Code","No.",$B229)</t>
  </si>
  <si>
    <t>=NL("Last","Item","Tariff No.","No.",$B229)</t>
  </si>
  <si>
    <t>=NL("Last","Item","Description","No.",$B230)</t>
  </si>
  <si>
    <t>=NL("Last","Sales Price","Unit Price","Item No.",$B230,"Ending Date","''","Sales Code","EUR PRICE")</t>
  </si>
  <si>
    <t>=NL("Last","Item","Multiple Order Quantity","No.",$B230)</t>
  </si>
  <si>
    <t>=NL("Last","Item Cross Reference","Cross-Reference No.","Cross-Reference Type No.","EAN 13","Item No.",$B230,"unit of measure","ea")</t>
  </si>
  <si>
    <t>=NL("Last","Item Unit of Measure","Height","Item No.",$B230,"code","ea")</t>
  </si>
  <si>
    <t>=NL("Last","Item Unit of Measure","Width","Item No.",$B230,"code","ea")</t>
  </si>
  <si>
    <t>=NL("Last","Item Unit of Measure","Length","Item No.",$B230,"code","ea")</t>
  </si>
  <si>
    <t>=NL("Last","Item Unit of Measure","Weight","Item No.",$B230,"code","ea")</t>
  </si>
  <si>
    <t>=NL("Last","Item","Country/Region of Origin Code","No.",$B230)</t>
  </si>
  <si>
    <t>=NL("Last","Item","Tariff No.","No.",$B230)</t>
  </si>
  <si>
    <t>=NL("Last","Item","Description","No.",$B231)</t>
  </si>
  <si>
    <t>=NL("Last","Sales Price","Unit Price","Item No.",$B231,"Ending Date","''","Sales Code","EUR PRICE")</t>
  </si>
  <si>
    <t>=NL("Last","Item","Multiple Order Quantity","No.",$B231)</t>
  </si>
  <si>
    <t>=NL("Last","Item Cross Reference","Cross-Reference No.","Cross-Reference Type No.","EAN 13","Item No.",$B231,"unit of measure","ea")</t>
  </si>
  <si>
    <t>=NL("Last","Item Unit of Measure","Height","Item No.",$B231,"code","ea")</t>
  </si>
  <si>
    <t>=NL("Last","Item Unit of Measure","Width","Item No.",$B231,"code","ea")</t>
  </si>
  <si>
    <t>=NL("Last","Item Unit of Measure","Length","Item No.",$B231,"code","ea")</t>
  </si>
  <si>
    <t>=NL("Last","Item Unit of Measure","Weight","Item No.",$B231,"code","ea")</t>
  </si>
  <si>
    <t>=NL("Last","Item","Country/Region of Origin Code","No.",$B231)</t>
  </si>
  <si>
    <t>=NL("Last","Item","Tariff No.","No.",$B231)</t>
  </si>
  <si>
    <t>=NL("Last","Item","Description","No.",$B232)</t>
  </si>
  <si>
    <t>=NL("Last","Sales Price","Unit Price","Item No.",$B232,"Ending Date","''","Sales Code","EUR PRICE")</t>
  </si>
  <si>
    <t>=NL("Last","Item","Multiple Order Quantity","No.",$B232)</t>
  </si>
  <si>
    <t>=NL("Last","Item Cross Reference","Cross-Reference No.","Cross-Reference Type No.","EAN 13","Item No.",$B232,"unit of measure","ea")</t>
  </si>
  <si>
    <t>=NL("Last","Item Unit of Measure","Height","Item No.",$B232,"code","ea")</t>
  </si>
  <si>
    <t>=NL("Last","Item Unit of Measure","Width","Item No.",$B232,"code","ea")</t>
  </si>
  <si>
    <t>=NL("Last","Item Unit of Measure","Length","Item No.",$B232,"code","ea")</t>
  </si>
  <si>
    <t>=NL("Last","Item Unit of Measure","Weight","Item No.",$B232,"code","ea")</t>
  </si>
  <si>
    <t>=NL("Last","Item","Country/Region of Origin Code","No.",$B232)</t>
  </si>
  <si>
    <t>=NL("Last","Item","Tariff No.","No.",$B232)</t>
  </si>
  <si>
    <t>=NL("Last","Item","Description","No.",$B233)</t>
  </si>
  <si>
    <t>=NL("Last","Sales Price","Unit Price","Item No.",$B233,"Ending Date","''","Sales Code","EUR PRICE")</t>
  </si>
  <si>
    <t>=NL("Last","Item","Multiple Order Quantity","No.",$B233)</t>
  </si>
  <si>
    <t>=NL("Last","Item Cross Reference","Cross-Reference No.","Cross-Reference Type No.","EAN 13","Item No.",$B233,"unit of measure","ea")</t>
  </si>
  <si>
    <t>=NL("Last","Item Unit of Measure","Height","Item No.",$B233,"code","ea")</t>
  </si>
  <si>
    <t>=NL("Last","Item Unit of Measure","Width","Item No.",$B233,"code","ea")</t>
  </si>
  <si>
    <t>=NL("Last","Item Unit of Measure","Length","Item No.",$B233,"code","ea")</t>
  </si>
  <si>
    <t>=NL("Last","Item Unit of Measure","Weight","Item No.",$B233,"code","ea")</t>
  </si>
  <si>
    <t>=NL("Last","Item","Country/Region of Origin Code","No.",$B233)</t>
  </si>
  <si>
    <t>=NL("Last","Item","Tariff No.","No.",$B233)</t>
  </si>
  <si>
    <t>=NL("First","Item","Description","No.",$B8)</t>
  </si>
  <si>
    <t>=IF($E8="","",NL("First","Item","Description","No.",$E8))</t>
  </si>
  <si>
    <t>=IF($E8="","",NL("Last","Sales Price","Unit Price","Item No.",$E8,"Ending Date","''","Sales Code","EUR PRICE"))</t>
  </si>
  <si>
    <t>=NL("First","Item","Description","No.",$B9)</t>
  </si>
  <si>
    <t>=IF($E9="","",NL("First","Item","Description","No.",$E9))</t>
  </si>
  <si>
    <t>=IF($E9="","",NL("Last","Sales Price","Unit Price","Item No.",$E9,"Ending Date","''","Sales Code","EUR PRICE"))</t>
  </si>
  <si>
    <t>=NL("First","Item","Description","No.",$B10)</t>
  </si>
  <si>
    <t>=NL("First","Item","Description","No.",$B11)</t>
  </si>
  <si>
    <t>=IF($E11="","",NL("First","Item","Description","No.",$E11))</t>
  </si>
  <si>
    <t>=IF($E11="","",NL("Last","Sales Price","Unit Price","Item No.",$E11,"Ending Date","''","Sales Code","EUR PRICE"))</t>
  </si>
  <si>
    <t>=NL("First","Item","Description","No.",$B12)</t>
  </si>
  <si>
    <t>=IF($E12="","",NL("First","Item","Description","No.",$E12))</t>
  </si>
  <si>
    <t>=IF($E12="","",NL("Last","Sales Price","Unit Price","Item No.",$E12,"Ending Date","''","Sales Code","EUR PRICE"))</t>
  </si>
  <si>
    <t>=NL("First","Item","Description","No.",$B13)</t>
  </si>
  <si>
    <t>=NL("First","Item","Description","No.",$B14)</t>
  </si>
  <si>
    <t>=IF($E14="","",NL("First","Item","Description","No.",$E14))</t>
  </si>
  <si>
    <t>=IF($E14="","",NL("Last","Sales Price","Unit Price","Item No.",$E14,"Ending Date","''","Sales Code","EUR PRICE"))</t>
  </si>
  <si>
    <t>=NL("First","Item","Description","No.",$B15)</t>
  </si>
  <si>
    <t>=IF($E15="","",NL("First","Item","Description","No.",$E15))</t>
  </si>
  <si>
    <t>=IF($E15="","",NL("Last","Sales Price","Unit Price","Item No.",$E15,"Ending Date","''","Sales Code","EUR PRICE"))</t>
  </si>
  <si>
    <t>=NL("First","Item","Description","No.",$B16)</t>
  </si>
  <si>
    <t>=NL("First","Item","Description","No.",$B17)</t>
  </si>
  <si>
    <t>=NL("First","Item","Description","No.",$B18)</t>
  </si>
  <si>
    <t>=NL("First","Item","Description","No.",$B19)</t>
  </si>
  <si>
    <t>=IF($E19="","",NL("First","Item","Description","No.",$E19))</t>
  </si>
  <si>
    <t>=IF($E19="","",NL("Last","Sales Price","Unit Price","Item No.",$E19,"Ending Date","''","Sales Code","EUR PRICE"))</t>
  </si>
  <si>
    <t>=NL("First","Item","Description","No.",$B20)</t>
  </si>
  <si>
    <t>=IF($E20="","",NL("First","Item","Description","No.",$E20))</t>
  </si>
  <si>
    <t>=IF($E20="","",NL("Last","Sales Price","Unit Price","Item No.",$E20,"Ending Date","''","Sales Code","EUR PRICE"))</t>
  </si>
  <si>
    <t>=NL("First","Item","Description","No.",$B21)</t>
  </si>
  <si>
    <t>=NL("First","Item","Description","No.",$B22)</t>
  </si>
  <si>
    <t>=IF($E22="","",NL("First","Item","Description","No.",$E22))</t>
  </si>
  <si>
    <t>=IF($E22="","",NL("Last","Sales Price","Unit Price","Item No.",$E22,"Ending Date","''","Sales Code","EUR PRICE"))</t>
  </si>
  <si>
    <t>=NL("First","Item","Description","No.",$B23)</t>
  </si>
  <si>
    <t>=IF($E23="","",NL("First","Item","Description","No.",$E23))</t>
  </si>
  <si>
    <t>=IF($E23="","",NL("Last","Sales Price","Unit Price","Item No.",$E23,"Ending Date","''","Sales Code","EUR PRICE"))</t>
  </si>
  <si>
    <t>=NL("First","Item","Description","No.",$B24)</t>
  </si>
  <si>
    <t>=NL("First","Item","Description","No.",$B25)</t>
  </si>
  <si>
    <t>=IF($E25="","",NL("First","Item","Description","No.",$E25))</t>
  </si>
  <si>
    <t>=IF($E25="","",NL("Last","Sales Price","Unit Price","Item No.",$E25,"Ending Date","''","Sales Code","EUR PRICE"))</t>
  </si>
  <si>
    <t>=NL("First","Item","Description","No.",$B26)</t>
  </si>
  <si>
    <t>=IF($E26="","",NL("First","Item","Description","No.",$E26))</t>
  </si>
  <si>
    <t>=IF($E26="","",NL("Last","Sales Price","Unit Price","Item No.",$E26,"Ending Date","''","Sales Code","EUR PRICE"))</t>
  </si>
  <si>
    <t>=NL("First","Item","Description","No.",$B27)</t>
  </si>
  <si>
    <t>=NL("First","Item","Description","No.",$B28)</t>
  </si>
  <si>
    <t>=IF($E28="","",NL("First","Item","Description","No.",$E28))</t>
  </si>
  <si>
    <t>=IF($E28="","",NL("Last","Sales Price","Unit Price","Item No.",$E28,"Ending Date","''","Sales Code","EUR PRICE"))</t>
  </si>
  <si>
    <t>=NL("First","Item","Description","No.",$B29)</t>
  </si>
  <si>
    <t>=IF($E29="","",NL("First","Item","Description","No.",$E29))</t>
  </si>
  <si>
    <t>=IF($E29="","",NL("Last","Sales Price","Unit Price","Item No.",$E29,"Ending Date","''","Sales Code","EUR PRICE"))</t>
  </si>
  <si>
    <t>=NL("First","Item","Description","No.",$B30)</t>
  </si>
  <si>
    <t>=NL("First","Item","Description","No.",$B31)</t>
  </si>
  <si>
    <t>=IF($E31="","",NL("First","Item","Description","No.",$E31))</t>
  </si>
  <si>
    <t>=IF($E31="","",NL("Last","Sales Price","Unit Price","Item No.",$E31,"Ending Date","''","Sales Code","EUR PRICE"))</t>
  </si>
  <si>
    <t>=NL("First","Item","Description","No.",$B32)</t>
  </si>
  <si>
    <t>=IF($E32="","",NL("First","Item","Description","No.",$E32))</t>
  </si>
  <si>
    <t>=IF($E32="","",NL("Last","Sales Price","Unit Price","Item No.",$E32,"Ending Date","''","Sales Code","EUR PRICE"))</t>
  </si>
  <si>
    <t>=NL("First","Item","Description","No.",$B33)</t>
  </si>
  <si>
    <t>=NL("First","Item","Description","No.",$B34)</t>
  </si>
  <si>
    <t>=IF($E34="","",NL("First","Item","Description","No.",$E34))</t>
  </si>
  <si>
    <t>=IF($E34="","",NL("Last","Sales Price","Unit Price","Item No.",$E34,"Ending Date","''","Sales Code","EUR PRICE"))</t>
  </si>
  <si>
    <t>=NL("First","Item","Description","No.",$B35)</t>
  </si>
  <si>
    <t>=IF($E35="","",NL("First","Item","Description","No.",$E35))</t>
  </si>
  <si>
    <t>=IF($E35="","",NL("Last","Sales Price","Unit Price","Item No.",$E35,"Ending Date","''","Sales Code","EUR PRICE"))</t>
  </si>
  <si>
    <t>=NL("First","Item","Description","No.",$B36)</t>
  </si>
  <si>
    <t>=NL("First","Item","Description","No.",$B37)</t>
  </si>
  <si>
    <t>=IF($E37="","",NL("First","Item","Description","No.",$E37))</t>
  </si>
  <si>
    <t>=IF($E37="","",NL("Last","Sales Price","Unit Price","Item No.",$E37,"Ending Date","''","Sales Code","EUR PRICE"))</t>
  </si>
  <si>
    <t>=NL("First","Item","Description","No.",$B38)</t>
  </si>
  <si>
    <t>=IF($E38="","",NL("First","Item","Description","No.",$E38))</t>
  </si>
  <si>
    <t>=IF($E38="","",NL("Last","Sales Price","Unit Price","Item No.",$E38,"Ending Date","''","Sales Code","EUR PRICE"))</t>
  </si>
  <si>
    <t>=NL("First","Item","Description","No.",$B39)</t>
  </si>
  <si>
    <t>=NL("First","Item","Description","No.",$B40)</t>
  </si>
  <si>
    <t>=IF($E40="","",NL("First","Item","Description","No.",$E40))</t>
  </si>
  <si>
    <t>=IF($E40="","",NL("Last","Sales Price","Unit Price","Item No.",$E40,"Ending Date","''","Sales Code","EUR PRICE"))</t>
  </si>
  <si>
    <t>=NL("First","Item","Description","No.",$B41)</t>
  </si>
  <si>
    <t>=IF($E41="","",NL("First","Item","Description","No.",$E41))</t>
  </si>
  <si>
    <t>=IF($E41="","",NL("Last","Sales Price","Unit Price","Item No.",$E41,"Ending Date","''","Sales Code","EUR PRICE"))</t>
  </si>
  <si>
    <t>=NL("First","Item","Description","No.",$B42)</t>
  </si>
  <si>
    <t>=NL("First","Item","Description","No.",$B43)</t>
  </si>
  <si>
    <t>=IF($E43="","",NL("First","Item","Description","No.",$E43))</t>
  </si>
  <si>
    <t>=IF($E43="","",NL("Last","Sales Price","Unit Price","Item No.",$E43,"Ending Date","''","Sales Code","EUR PRICE"))</t>
  </si>
  <si>
    <t>=NL("First","Item","Description","No.",$B44)</t>
  </si>
  <si>
    <t>=IF($E44="","",NL("First","Item","Description","No.",$E44))</t>
  </si>
  <si>
    <t>=IF($E44="","",NL("Last","Sales Price","Unit Price","Item No.",$E44,"Ending Date","''","Sales Code","EUR PRICE"))</t>
  </si>
  <si>
    <t>=NL("First","Item","Description","No.",$B45)</t>
  </si>
  <si>
    <t>=NL("First","Item","Description","No.",$B46)</t>
  </si>
  <si>
    <t>=IF($E46="","",NL("First","Item","Description","No.",$E46))</t>
  </si>
  <si>
    <t>=IF($E46="","",NL("Last","Sales Price","Unit Price","Item No.",$E46,"Ending Date","''","Sales Code","EUR PRICE"))</t>
  </si>
  <si>
    <t>=NL("First","Item","Description","No.",$B47)</t>
  </si>
  <si>
    <t>=IF($E47="","",NL("First","Item","Description","No.",$E47))</t>
  </si>
  <si>
    <t>=IF($E47="","",NL("Last","Sales Price","Unit Price","Item No.",$E47,"Ending Date","''","Sales Code","EUR PRICE"))</t>
  </si>
  <si>
    <t>=NL("First","Item","Description","No.",$B48)</t>
  </si>
  <si>
    <t>=NL("First","Item","Description","No.",$B49)</t>
  </si>
  <si>
    <t>=IF($E49="","",NL("First","Item","Description","No.",$E49))</t>
  </si>
  <si>
    <t>=IF($E49="","",NL("Last","Sales Price","Unit Price","Item No.",$E49,"Ending Date","''","Sales Code","EUR PRICE"))</t>
  </si>
  <si>
    <t>=NL("First","Item","Description","No.",$B50)</t>
  </si>
  <si>
    <t>=IF($E50="","",NL("First","Item","Description","No.",$E50))</t>
  </si>
  <si>
    <t>=IF($E50="","",NL("Last","Sales Price","Unit Price","Item No.",$E50,"Ending Date","''","Sales Code","EUR PRICE"))</t>
  </si>
  <si>
    <t>=NL("First","Item","Description","No.",$B51)</t>
  </si>
  <si>
    <t>=NL("First","Item","Description","No.",$B52)</t>
  </si>
  <si>
    <t>=IF($E52="","",NL("First","Item","Description","No.",$E52))</t>
  </si>
  <si>
    <t>=IF($E52="","",NL("Last","Sales Price","Unit Price","Item No.",$E52,"Ending Date","''","Sales Code","EUR PRICE"))</t>
  </si>
  <si>
    <t>=NL("First","Item","Description","No.",$B53)</t>
  </si>
  <si>
    <t>=IF($E53="","",NL("First","Item","Description","No.",$E53))</t>
  </si>
  <si>
    <t>=IF($E53="","",NL("Last","Sales Price","Unit Price","Item No.",$E53,"Ending Date","''","Sales Code","EUR PRICE"))</t>
  </si>
  <si>
    <t>=NL("First","Item","Description","No.",$B54)</t>
  </si>
  <si>
    <t>=NL("First","Item","Description","No.",$B55)</t>
  </si>
  <si>
    <t>=IF($E55="","",NL("First","Item","Description","No.",$E55))</t>
  </si>
  <si>
    <t>=IF($E55="","",NL("Last","Sales Price","Unit Price","Item No.",$E55,"Ending Date","''","Sales Code","EUR PRICE"))</t>
  </si>
  <si>
    <t>=NL("First","Item","Description","No.",$B56)</t>
  </si>
  <si>
    <t>=IF($E56="","",NL("First","Item","Description","No.",$E56))</t>
  </si>
  <si>
    <t>=IF($E56="","",NL("Last","Sales Price","Unit Price","Item No.",$E56,"Ending Date","''","Sales Code","EUR PRICE"))</t>
  </si>
  <si>
    <t>=NL("First","Item","Description","No.",$B57)</t>
  </si>
  <si>
    <t>=NL("First","Item","Description","No.",$B58)</t>
  </si>
  <si>
    <t>=IF($E58="","",NL("First","Item","Description","No.",$E58))</t>
  </si>
  <si>
    <t>=IF($E58="","",NL("Last","Sales Price","Unit Price","Item No.",$E58,"Ending Date","''","Sales Code","EUR PRICE"))</t>
  </si>
  <si>
    <t>=NL("First","Item","Description","No.",$B59)</t>
  </si>
  <si>
    <t>=IF($E59="","",NL("First","Item","Description","No.",$E59))</t>
  </si>
  <si>
    <t>=IF($E59="","",NL("Last","Sales Price","Unit Price","Item No.",$E59,"Ending Date","''","Sales Code","EUR PRICE"))</t>
  </si>
  <si>
    <t>=NL("First","Item","Description","No.",$B60)</t>
  </si>
  <si>
    <t>=NL("First","Item","Description","No.",$B61)</t>
  </si>
  <si>
    <t>=IF($E61="","",NL("First","Item","Description","No.",$E61))</t>
  </si>
  <si>
    <t>=IF($E61="","",NL("Last","Sales Price","Unit Price","Item No.",$E61,"Ending Date","''","Sales Code","EUR PRICE"))</t>
  </si>
  <si>
    <t>=NL("First","Item","Description","No.",$B62)</t>
  </si>
  <si>
    <t>=IF($E62="","",NL("First","Item","Description","No.",$E62))</t>
  </si>
  <si>
    <t>=IF($E62="","",NL("Last","Sales Price","Unit Price","Item No.",$E62,"Ending Date","''","Sales Code","EUR PRICE"))</t>
  </si>
  <si>
    <t>=NL("First","Item","Description","No.",$B63)</t>
  </si>
  <si>
    <t>=NL("First","Item","Description","No.",$B64)</t>
  </si>
  <si>
    <t>=IF($E64="","",NL("First","Item","Description","No.",$E64))</t>
  </si>
  <si>
    <t>=IF($E64="","",NL("Last","Sales Price","Unit Price","Item No.",$E64,"Ending Date","''","Sales Code","EUR PRICE"))</t>
  </si>
  <si>
    <t>=NL("First","Item","Description","No.",$B65)</t>
  </si>
  <si>
    <t>=IF($E65="","",NL("First","Item","Description","No.",$E65))</t>
  </si>
  <si>
    <t>=IF($E65="","",NL("Last","Sales Price","Unit Price","Item No.",$E65,"Ending Date","''","Sales Code","EUR PRICE"))</t>
  </si>
  <si>
    <t>=NL("First","Item","Description","No.",$B66)</t>
  </si>
  <si>
    <t>=NL("First","Item","Description","No.",$B67)</t>
  </si>
  <si>
    <t>=IF($E67="","",NL("First","Item","Description","No.",$E67))</t>
  </si>
  <si>
    <t>=IF($E67="","",NL("Last","Sales Price","Unit Price","Item No.",$E67,"Ending Date","''","Sales Code","EUR PRICE"))</t>
  </si>
  <si>
    <t>=NL("First","Item","Description","No.",$B68)</t>
  </si>
  <si>
    <t>=IF($E68="","",NL("First","Item","Description","No.",$E68))</t>
  </si>
  <si>
    <t>=IF($E68="","",NL("Last","Sales Price","Unit Price","Item No.",$E68,"Ending Date","''","Sales Code","EUR PRICE"))</t>
  </si>
  <si>
    <t>=NL("First","Item","Description","No.",$B69)</t>
  </si>
  <si>
    <t>=NL("First","Item","Description","No.",$B70)</t>
  </si>
  <si>
    <t>=IF($E70="","",NL("First","Item","Description","No.",$E70))</t>
  </si>
  <si>
    <t>=IF($E70="","",NL("Last","Sales Price","Unit Price","Item No.",$E70,"Ending Date","''","Sales Code","EUR PRICE"))</t>
  </si>
  <si>
    <t>=NL("First","Item","Description","No.",$B71)</t>
  </si>
  <si>
    <t>=IF($E71="","",NL("First","Item","Description","No.",$E71))</t>
  </si>
  <si>
    <t>=IF($E71="","",NL("Last","Sales Price","Unit Price","Item No.",$E71,"Ending Date","''","Sales Code","EUR PRICE"))</t>
  </si>
  <si>
    <t>=NL("First","Item","Description","No.",$B72)</t>
  </si>
  <si>
    <t>=NL("First","Item","Description","No.",$B73)</t>
  </si>
  <si>
    <t>=NL("First","Item","Description","No.",$B74)</t>
  </si>
  <si>
    <t>=NL("First","Item","Description","No.",$B75)</t>
  </si>
  <si>
    <t>=NL("First","Item","Description","No.",$B76)</t>
  </si>
  <si>
    <t>=NL("First","Item","Description","No.",$B77)</t>
  </si>
  <si>
    <t>=NL("First","Item","Description","No.",$B78)</t>
  </si>
  <si>
    <t>=NL("First","Item","Description","No.",$B79)</t>
  </si>
  <si>
    <t>=NL("First","Item","Description","No.",$B80)</t>
  </si>
  <si>
    <t>=NL("First","Item","Description","No.",$B81)</t>
  </si>
  <si>
    <t>=NL("First","Item","Description","No.",$B82)</t>
  </si>
  <si>
    <t>=NL("First","Item","Description","No.",$B83)</t>
  </si>
  <si>
    <t>=NL("First","Item","Description","No.",$B84)</t>
  </si>
  <si>
    <t>=NL("First","Item","Description","No.",$B85)</t>
  </si>
  <si>
    <t>=NL("First","Item","Description","No.",$B86)</t>
  </si>
  <si>
    <t>=NL("First","Item","Description","No.",$B87)</t>
  </si>
  <si>
    <t>=NL("First","Item","Description","No.",$B88)</t>
  </si>
  <si>
    <t>=NL("First","Item","Description","No.",$B89)</t>
  </si>
  <si>
    <t>=NL("First","Item","Description","No.",$B90)</t>
  </si>
  <si>
    <t>=NL("First","Item","Description","No.",$B91)</t>
  </si>
  <si>
    <t>=NL("First","Item","Description","No.",$B92)</t>
  </si>
  <si>
    <t>=NL("First","Item","Description","No.",$B93)</t>
  </si>
  <si>
    <t>=NL("First","Item","Description","No.",$B94)</t>
  </si>
  <si>
    <t>=NL("First","Item","Description","No.",$B95)</t>
  </si>
  <si>
    <t>=NL("First","Item","Description","No.",$B96)</t>
  </si>
  <si>
    <t>=NL("First","Item","Description","No.",$B97)</t>
  </si>
  <si>
    <t>=NL("First","Item","Description","No.",$B98)</t>
  </si>
  <si>
    <t>=NL("First","Item","Description","No.",$B99)</t>
  </si>
  <si>
    <t>=NL("First","Item","Description","No.",$B100)</t>
  </si>
  <si>
    <t>=NL("First","Item","Description","No.",$B101)</t>
  </si>
  <si>
    <t>=NL("First","Item","Description","No.",$B102)</t>
  </si>
  <si>
    <t>=NL("First","Item","Description","No.",$B103)</t>
  </si>
  <si>
    <t>=NL("First","Item","Description","No.",$B104)</t>
  </si>
  <si>
    <t>=NL("First","Item","Description","No.",$B105)</t>
  </si>
  <si>
    <t>=NL("First","Item","Description","No.",$B106)</t>
  </si>
  <si>
    <t>=NL("First","Item","Description","No.",$B107)</t>
  </si>
  <si>
    <t>=NL("First","Item","Description","No.",$B108)</t>
  </si>
  <si>
    <t>=NL("First","Item","Description","No.",$B109)</t>
  </si>
  <si>
    <t>=NL("First","Item","Description","No.",$B110)</t>
  </si>
  <si>
    <t>=NL("First","Item","Description","No.",$B111)</t>
  </si>
  <si>
    <t>=NL("First","Item","Description","No.",$B112)</t>
  </si>
  <si>
    <t>=NL("First","Item","Description","No.",$B113)</t>
  </si>
  <si>
    <t>=NL("First","Item","Description","No.",$B114)</t>
  </si>
  <si>
    <t>=NL("First","Item","Description","No.",$B115)</t>
  </si>
  <si>
    <t>=NL("First","Item","Description","No.",$B116)</t>
  </si>
  <si>
    <t>=IF($E116="","",NL("First","Item","Description","No.",$E116))</t>
  </si>
  <si>
    <t>=IF($E116="","",NL("Last","Sales Price","Unit Price","Item No.",$E116,"Ending Date","''","Sales Code","EUR PRICE"))</t>
  </si>
  <si>
    <t>=NL("First","Item","Description","No.",$B117)</t>
  </si>
  <si>
    <t>=IF($E117="","",NL("First","Item","Description","No.",$E117))</t>
  </si>
  <si>
    <t>=IF($E117="","",NL("Last","Sales Price","Unit Price","Item No.",$E117,"Ending Date","''","Sales Code","EUR PRICE"))</t>
  </si>
  <si>
    <t>=NL("First","Item","Description","No.",$B118)</t>
  </si>
  <si>
    <t>=NL("First","Item","Description","No.",$B119)</t>
  </si>
  <si>
    <t>=NL("First","Item","Description","No.",$B120)</t>
  </si>
  <si>
    <t>=NL("First","Item","Description","No.",$B121)</t>
  </si>
  <si>
    <t>=NL("First","Item","Description","No.",$B122)</t>
  </si>
  <si>
    <t>=NL("First","Item","Description","No.",$B123)</t>
  </si>
  <si>
    <t>=NL("First","Item","Description","No.",$B124)</t>
  </si>
  <si>
    <t>=NL("First","Item","Description","No.",$B125)</t>
  </si>
  <si>
    <t>=NL("First","Item","Description","No.",$B126)</t>
  </si>
  <si>
    <t>=NL("First","Item","Description","No.",$B127)</t>
  </si>
  <si>
    <t>=NL("First","Item","Description","No.",$B128)</t>
  </si>
  <si>
    <t>=NL("First","Item","Description","No.",$B129)</t>
  </si>
  <si>
    <t>=NL("First","Item","Description","No.",$B130)</t>
  </si>
  <si>
    <t>=NL("First","Item","Description","No.",$B131)</t>
  </si>
  <si>
    <t>=NL("First","Item","Description","No.",$B132)</t>
  </si>
  <si>
    <t>=NL("First","Item","Description","No.",$B133)</t>
  </si>
  <si>
    <t>=NL("First","Item","Description","No.",$B134)</t>
  </si>
  <si>
    <t>=NL("First","Item","Description","No.",$B135)</t>
  </si>
  <si>
    <t>=NL("First","Item","Description","No.",$B136)</t>
  </si>
  <si>
    <t>=NL("First","Item","Description","No.",$B137)</t>
  </si>
  <si>
    <t>=NL("First","Item","Description","No.",$B138)</t>
  </si>
  <si>
    <t>=NL("First","Item","Description","No.",$B139)</t>
  </si>
  <si>
    <t>=NL("First","Item","Description","No.",$B140)</t>
  </si>
  <si>
    <t>=NL("First","Item","Description","No.",$B141)</t>
  </si>
  <si>
    <t>=NL("First","Item","Description","No.",$B142)</t>
  </si>
  <si>
    <t>=NL("First","Item","Description","No.",$B143)</t>
  </si>
  <si>
    <t>=NL("First","Item","Description","No.",$B144)</t>
  </si>
  <si>
    <t>=NL("First","Item","Description","No.",$B145)</t>
  </si>
  <si>
    <t>=NL("First","Item","Description","No.",$B146)</t>
  </si>
  <si>
    <t>=NL("First","Item","Description","No.",$B147)</t>
  </si>
  <si>
    <t>=NL("First","Item","Description","No.",$B148)</t>
  </si>
  <si>
    <t>=NL("First","Item","Description","No.",$B149)</t>
  </si>
  <si>
    <t>=NL("First","Item","Description","No.",$B150)</t>
  </si>
  <si>
    <t>=NL("First","Item","Description","No.",$B151)</t>
  </si>
  <si>
    <t>=NL("First","Item","Description","No.",$B152)</t>
  </si>
  <si>
    <t>=NL("First","Item","Description","No.",$B153)</t>
  </si>
  <si>
    <t>=NL("First","Item","Description","No.",$B154)</t>
  </si>
  <si>
    <t>=NL("First","Item","Description","No.",$B155)</t>
  </si>
  <si>
    <t>=NL("First","Item","Description","No.",$B156)</t>
  </si>
  <si>
    <t>=NL("First","Item","Description","No.",$B157)</t>
  </si>
  <si>
    <t>=IF($E157="","",NL("First","Item","Description","No.",$E157))</t>
  </si>
  <si>
    <t>=IF($E157="","",NL("Last","Sales Price","Unit Price","Item No.",$E157,"Ending Date","''","Sales Code","EUR PRICE"))</t>
  </si>
  <si>
    <t>=NL("First","Item","Description","No.",$B158)</t>
  </si>
  <si>
    <t>=IF($E158="","",NL("First","Item","Description","No.",$E158))</t>
  </si>
  <si>
    <t>=IF($E158="","",NL("Last","Sales Price","Unit Price","Item No.",$E158,"Ending Date","''","Sales Code","EUR PRICE"))</t>
  </si>
  <si>
    <t>=NL("First","Item","Description","No.",$B159)</t>
  </si>
  <si>
    <t>=NL("First","Item","Description","No.",$B160)</t>
  </si>
  <si>
    <t>=IF($E160="","",NL("First","Item","Description","No.",$E160))</t>
  </si>
  <si>
    <t>=IF($E160="","",NL("Last","Sales Price","Unit Price","Item No.",$E160,"Ending Date","''","Sales Code","EUR PRICE"))</t>
  </si>
  <si>
    <t>=NL("First","Item","Description","No.",$B161)</t>
  </si>
  <si>
    <t>=IF($E161="","",NL("First","Item","Description","No.",$E161))</t>
  </si>
  <si>
    <t>=IF($E161="","",NL("Last","Sales Price","Unit Price","Item No.",$E161,"Ending Date","''","Sales Code","EUR PRICE"))</t>
  </si>
  <si>
    <t>=NL("First","Item","Description","No.",$B162)</t>
  </si>
  <si>
    <t>=NL("First","Item","Description","No.",$B163)</t>
  </si>
  <si>
    <t>=IF($E163="","",NL("First","Item","Description","No.",$E163))</t>
  </si>
  <si>
    <t>=IF($E163="","",NL("Last","Sales Price","Unit Price","Item No.",$E163,"Ending Date","''","Sales Code","EUR PRICE"))</t>
  </si>
  <si>
    <t>=NL("First","Item","Description","No.",$B164)</t>
  </si>
  <si>
    <t>=IF($E164="","",NL("First","Item","Description","No.",$E164))</t>
  </si>
  <si>
    <t>=IF($E164="","",NL("Last","Sales Price","Unit Price","Item No.",$E164,"Ending Date","''","Sales Code","EUR PRICE"))</t>
  </si>
  <si>
    <t>=NL("First","Item","Description","No.",$B165)</t>
  </si>
  <si>
    <t>=NL("First","Item","Description","No.",$B166)</t>
  </si>
  <si>
    <t>=IF($E166="","",NL("First","Item","Description","No.",$E166))</t>
  </si>
  <si>
    <t>=IF($E166="","",NL("Last","Sales Price","Unit Price","Item No.",$E166,"Ending Date","''","Sales Code","EUR PRICE"))</t>
  </si>
  <si>
    <t>=NL("First","Item","Description","No.",$B167)</t>
  </si>
  <si>
    <t>=IF($E167="","",NL("First","Item","Description","No.",$E167))</t>
  </si>
  <si>
    <t>=IF($E167="","",NL("Last","Sales Price","Unit Price","Item No.",$E167,"Ending Date","''","Sales Code","EUR PRICE"))</t>
  </si>
  <si>
    <t>=NL("First","Item","Description","No.",$B168)</t>
  </si>
  <si>
    <t>=NL("First","Item","Description","No.",$B169)</t>
  </si>
  <si>
    <t>=IF($E169="","",NL("First","Item","Description","No.",$E169))</t>
  </si>
  <si>
    <t>=IF($E169="","",NL("Last","Sales Price","Unit Price","Item No.",$E169,"Ending Date","''","Sales Code","EUR PRICE"))</t>
  </si>
  <si>
    <t>=NL("First","Item","Description","No.",$B170)</t>
  </si>
  <si>
    <t>=IF($E170="","",NL("First","Item","Description","No.",$E170))</t>
  </si>
  <si>
    <t>=IF($E170="","",NL("Last","Sales Price","Unit Price","Item No.",$E170,"Ending Date","''","Sales Code","EUR PRICE"))</t>
  </si>
  <si>
    <t>=NL("First","Item","Description","No.",$B171)</t>
  </si>
  <si>
    <t>=NL("First","Item","Description","No.",$B172)</t>
  </si>
  <si>
    <t>=IF($E172="","",NL("First","Item","Description","No.",$E172))</t>
  </si>
  <si>
    <t>=IF($E172="","",NL("Last","Sales Price","Unit Price","Item No.",$E172,"Ending Date","''","Sales Code","EUR PRICE"))</t>
  </si>
  <si>
    <t>=NL("First","Item","Description","No.",$B173)</t>
  </si>
  <si>
    <t>=IF($E173="","",NL("First","Item","Description","No.",$E173))</t>
  </si>
  <si>
    <t>=IF($E173="","",NL("Last","Sales Price","Unit Price","Item No.",$E173,"Ending Date","''","Sales Code","EUR PRICE"))</t>
  </si>
  <si>
    <t>=NL("First","Item","Description","No.",$B174)</t>
  </si>
  <si>
    <t>=NL("First","Item","Description","No.",$B175)</t>
  </si>
  <si>
    <t>=IF($E175="","",NL("First","Item","Description","No.",$E175))</t>
  </si>
  <si>
    <t>=IF($E175="","",NL("Last","Sales Price","Unit Price","Item No.",$E175,"Ending Date","''","Sales Code","EUR PRICE"))</t>
  </si>
  <si>
    <t>=NL("First","Item","Description","No.",$B176)</t>
  </si>
  <si>
    <t>=IF($E176="","",NL("First","Item","Description","No.",$E176))</t>
  </si>
  <si>
    <t>=IF($E176="","",NL("Last","Sales Price","Unit Price","Item No.",$E176,"Ending Date","''","Sales Code","EUR PRICE"))</t>
  </si>
  <si>
    <t>=NL("First","Item","Description","No.",$B177)</t>
  </si>
  <si>
    <t>=NL("First","Item","Description","No.",$B178)</t>
  </si>
  <si>
    <t>=IF($E178="","",NL("First","Item","Description","No.",$E178))</t>
  </si>
  <si>
    <t>=IF($E178="","",NL("Last","Sales Price","Unit Price","Item No.",$E178,"Ending Date","''","Sales Code","EUR PRICE"))</t>
  </si>
  <si>
    <t>=NL("First","Item","Description","No.",$B179)</t>
  </si>
  <si>
    <t>=IF($E179="","",NL("First","Item","Description","No.",$E179))</t>
  </si>
  <si>
    <t>=IF($E179="","",NL("Last","Sales Price","Unit Price","Item No.",$E179,"Ending Date","''","Sales Code","EUR PRICE"))</t>
  </si>
  <si>
    <t>=NL("First","Item","Description","No.",$B180)</t>
  </si>
  <si>
    <t>=NL("First","Item","Description","No.",$B181)</t>
  </si>
  <si>
    <t>=IF($E181="","",NL("First","Item","Description","No.",$E181))</t>
  </si>
  <si>
    <t>=IF($E181="","",NL("Last","Sales Price","Unit Price","Item No.",$E181,"Ending Date","''","Sales Code","EUR PRICE"))</t>
  </si>
  <si>
    <t>=NL("First","Item","Description","No.",$B182)</t>
  </si>
  <si>
    <t>=IF($E182="","",NL("First","Item","Description","No.",$E182))</t>
  </si>
  <si>
    <t>=IF($E182="","",NL("Last","Sales Price","Unit Price","Item No.",$E182,"Ending Date","''","Sales Code","EUR PRICE"))</t>
  </si>
  <si>
    <t>=NL("First","Item","Description","No.",$B183)</t>
  </si>
  <si>
    <t>=NL("First","Item","Description","No.",$B184)</t>
  </si>
  <si>
    <t>=IF($E184="","",NL("First","Item","Description","No.",$E184))</t>
  </si>
  <si>
    <t>=IF($E184="","",NL("Last","Sales Price","Unit Price","Item No.",$E184,"Ending Date","''","Sales Code","EUR PRICE"))</t>
  </si>
  <si>
    <t>=NL("First","Item","Description","No.",$B185)</t>
  </si>
  <si>
    <t>=IF($E185="","",NL("First","Item","Description","No.",$E185))</t>
  </si>
  <si>
    <t>=IF($E185="","",NL("Last","Sales Price","Unit Price","Item No.",$E185,"Ending Date","''","Sales Code","EUR PRICE"))</t>
  </si>
  <si>
    <t>=NL("First","Item","Description","No.",$B186)</t>
  </si>
  <si>
    <t>=NL("First","Item","Description","No.",$B187)</t>
  </si>
  <si>
    <t>=IF($E187="","",NL("First","Item","Description","No.",$E187))</t>
  </si>
  <si>
    <t>=IF($E187="","",NL("Last","Sales Price","Unit Price","Item No.",$E187,"Ending Date","''","Sales Code","EUR PRICE"))</t>
  </si>
  <si>
    <t>=NL("First","Item","Description","No.",$B188)</t>
  </si>
  <si>
    <t>=IF($E188="","",NL("First","Item","Description","No.",$E188))</t>
  </si>
  <si>
    <t>=IF($E188="","",NL("Last","Sales Price","Unit Price","Item No.",$E188,"Ending Date","''","Sales Code","EUR PRICE"))</t>
  </si>
  <si>
    <t>=NL("First","Item","Description","No.",$B189)</t>
  </si>
  <si>
    <t>=IF($E189="","",NL("First","Item","Description","No.",$E189))</t>
  </si>
  <si>
    <t>=IF($E189="","",NL("Last","Sales Price","Unit Price","Item No.",$E189,"Ending Date","''","Sales Code","EUR PRICE"))</t>
  </si>
  <si>
    <t>=NL("First","Item","Description","No.",$B190)</t>
  </si>
  <si>
    <t>=NL("First","Item","Description","No.",$B191)</t>
  </si>
  <si>
    <t>=IF($E191="","",NL("First","Item","Description","No.",$E191))</t>
  </si>
  <si>
    <t>=IF($E191="","",NL("Last","Sales Price","Unit Price","Item No.",$E191,"Ending Date","''","Sales Code","EUR PRICE"))</t>
  </si>
  <si>
    <t>=NL("First","Item","Description","No.",$B192)</t>
  </si>
  <si>
    <t>=IF($E192="","",NL("First","Item","Description","No.",$E192))</t>
  </si>
  <si>
    <t>=IF($E192="","",NL("Last","Sales Price","Unit Price","Item No.",$E192,"Ending Date","''","Sales Code","EUR PRICE"))</t>
  </si>
  <si>
    <t>=NL("First","Item","Description","No.",$B193)</t>
  </si>
  <si>
    <t>=IF($E193="","",NL("First","Item","Description","No.",$E193))</t>
  </si>
  <si>
    <t>=IF($E193="","",NL("Last","Sales Price","Unit Price","Item No.",$E193,"Ending Date","''","Sales Code","EUR PRICE"))</t>
  </si>
  <si>
    <t>=NL("First","Item","Description","No.",$B194)</t>
  </si>
  <si>
    <t>=IF($E194="","",NL("First","Item","Description","No.",$E194))</t>
  </si>
  <si>
    <t>=IF($E194="","",NL("Last","Sales Price","Unit Price","Item No.",$E194,"Ending Date","''","Sales Code","EUR PRICE"))</t>
  </si>
  <si>
    <t>=NL("First","Item","Description","No.",$B195)</t>
  </si>
  <si>
    <t>=NL("First","Item","Description","No.",$B196)</t>
  </si>
  <si>
    <t>=NL("First","Item","Description","No.",$B197)</t>
  </si>
  <si>
    <t>=NL("First","Item","Description","No.",$B200)</t>
  </si>
  <si>
    <t>=IF($E200="","",NL("First","Item","Description","No.",$E200))</t>
  </si>
  <si>
    <t>=IF($E200="","",NL("Last","Sales Price","Unit Price","Item No.",$E200,"Ending Date","''","Sales Code","EUR PRICE"))</t>
  </si>
  <si>
    <t>=NL("First","BOM Component","Quantity per","Parent Item No.",$B200,"no.",$E200)</t>
  </si>
  <si>
    <t>=NL("First","Item","Description","No.",$B201)</t>
  </si>
  <si>
    <t>=IF($E201="","",NL("First","Item","Description","No.",$E201))</t>
  </si>
  <si>
    <t>=IF($E201="","",NL("Last","Sales Price","Unit Price","Item No.",$E201,"Ending Date","''","Sales Code","EUR PRICE"))</t>
  </si>
  <si>
    <t>=NL("First","BOM Component","Quantity per","Parent Item No.",$B201,"no.",$E201)</t>
  </si>
  <si>
    <t>=NL("First","Item","Description","No.",$B202)</t>
  </si>
  <si>
    <t>=IF($E202="","",NL("First","Item","Description","No.",$E202))</t>
  </si>
  <si>
    <t>=IF($E202="","",NL("Last","Sales Price","Unit Price","Item No.",$E202,"Ending Date","''","Sales Code","EUR PRICE"))</t>
  </si>
  <si>
    <t>=NL("First","BOM Component","Quantity per","Parent Item No.",$B202,"no.",$E202)</t>
  </si>
  <si>
    <t>=NL("First","Item","Description","No.",$B203)</t>
  </si>
  <si>
    <t>=IF($E203="","",NL("First","Item","Description","No.",$E203))</t>
  </si>
  <si>
    <t>=IF($E203="","",NL("Last","Sales Price","Unit Price","Item No.",$E203,"Ending Date","''","Sales Code","EUR PRICE"))</t>
  </si>
  <si>
    <t>=NL("First","BOM Component","Quantity per","Parent Item No.",$B203,"no.",$E203)</t>
  </si>
  <si>
    <t>=NL("First","Item","Description","No.",$B204)</t>
  </si>
  <si>
    <t>=NL("First","Item","Description","No.",$B205)</t>
  </si>
  <si>
    <t>=IF($E205="","",NL("First","Item","Description","No.",$E205))</t>
  </si>
  <si>
    <t>=IF($E205="","",NL("Last","Sales Price","Unit Price","Item No.",$E205,"Ending Date","''","Sales Code","EUR PRICE"))</t>
  </si>
  <si>
    <t>=NL("First","BOM Component","Quantity per","Parent Item No.",$B205,"no.",$E205)</t>
  </si>
  <si>
    <t>=NL("First","Item","Description","No.",$B206)</t>
  </si>
  <si>
    <t>=IF($E206="","",NL("First","Item","Description","No.",$E206))</t>
  </si>
  <si>
    <t>=IF($E206="","",NL("Last","Sales Price","Unit Price","Item No.",$E206,"Ending Date","''","Sales Code","EUR PRICE"))</t>
  </si>
  <si>
    <t>=NL("First","BOM Component","Quantity per","Parent Item No.",$B206,"no.",$E206)</t>
  </si>
  <si>
    <t>=NL("First","Item","Description","No.",$B207)</t>
  </si>
  <si>
    <t>=IF($E207="","",NL("First","Item","Description","No.",$E207))</t>
  </si>
  <si>
    <t>=IF($E207="","",NL("Last","Sales Price","Unit Price","Item No.",$E207,"Ending Date","''","Sales Code","EUR PRICE"))</t>
  </si>
  <si>
    <t>=NL("First","BOM Component","Quantity per","Parent Item No.",$B207,"no.",$E207)</t>
  </si>
  <si>
    <t>=NL("First","Item","Description","No.",$B208)</t>
  </si>
  <si>
    <t>=IF($E208="","",NL("First","Item","Description","No.",$E208))</t>
  </si>
  <si>
    <t>=IF($E208="","",NL("Last","Sales Price","Unit Price","Item No.",$E208,"Ending Date","''","Sales Code","EUR PRICE"))</t>
  </si>
  <si>
    <t>=NL("First","BOM Component","Quantity per","Parent Item No.",$B208,"no.",$E208)</t>
  </si>
  <si>
    <t>=NL("First","Item","Description","No.",$B209)</t>
  </si>
  <si>
    <t>=IF($E209="","",NL("First","Item","Description","No.",$E209))</t>
  </si>
  <si>
    <t>=IF($E209="","",NL("Last","Sales Price","Unit Price","Item No.",$E209,"Ending Date","''","Sales Code","EUR PRICE"))</t>
  </si>
  <si>
    <t>=NL("First","BOM Component","Quantity per","Parent Item No.",$B209,"no.",$E209)</t>
  </si>
  <si>
    <t>=NL("First","Item","Description","No.",$B210)</t>
  </si>
  <si>
    <t>=NL("First","Item","Description","No.",$B211)</t>
  </si>
  <si>
    <t>=IF($E211="","",NL("First","Item","Description","No.",$E211))</t>
  </si>
  <si>
    <t>=IF($E211="","",NL("Last","Sales Price","Unit Price","Item No.",$E211,"Ending Date","''","Sales Code","EUR PRICE"))</t>
  </si>
  <si>
    <t>=NL("First","BOM Component","Quantity per","Parent Item No.",$B211,"no.",$E211)</t>
  </si>
  <si>
    <t>=NL("First","Item","Description","No.",$B212)</t>
  </si>
  <si>
    <t>=IF($E212="","",NL("First","Item","Description","No.",$E212))</t>
  </si>
  <si>
    <t>=IF($E212="","",NL("Last","Sales Price","Unit Price","Item No.",$E212,"Ending Date","''","Sales Code","EUR PRICE"))</t>
  </si>
  <si>
    <t>=NL("First","BOM Component","Quantity per","Parent Item No.",$B212,"no.",$E212)</t>
  </si>
  <si>
    <t>=NL("First","Item","Description","No.",$B213)</t>
  </si>
  <si>
    <t>=IF($E213="","",NL("First","Item","Description","No.",$E213))</t>
  </si>
  <si>
    <t>=IF($E213="","",NL("Last","Sales Price","Unit Price","Item No.",$E213,"Ending Date","''","Sales Code","EUR PRICE"))</t>
  </si>
  <si>
    <t>=NL("First","BOM Component","Quantity per","Parent Item No.",$B213,"no.",$E213)</t>
  </si>
  <si>
    <t>=NL("First","Item","Description","No.",$B214)</t>
  </si>
  <si>
    <t>=IF($E214="","",NL("First","Item","Description","No.",$E214))</t>
  </si>
  <si>
    <t>=IF($E214="","",NL("Last","Sales Price","Unit Price","Item No.",$E214,"Ending Date","''","Sales Code","EUR PRICE"))</t>
  </si>
  <si>
    <t>=NL("First","BOM Component","Quantity per","Parent Item No.",$B214,"no.",$E214)</t>
  </si>
  <si>
    <t>=NL("First","Item","Description","No.",$B215)</t>
  </si>
  <si>
    <t>=NL("First","Item","Description","No.",$B216)</t>
  </si>
  <si>
    <t>=IF($E216="","",NL("First","Item","Description","No.",$E216))</t>
  </si>
  <si>
    <t>=IF($E216="","",NL("Last","Sales Price","Unit Price","Item No.",$E216,"Ending Date","''","Sales Code","EUR PRICE"))</t>
  </si>
  <si>
    <t>=NL("First","BOM Component","Quantity per","Parent Item No.",$B216,"no.",$E216)</t>
  </si>
  <si>
    <t>=NL("First","Item","Description","No.",$B217)</t>
  </si>
  <si>
    <t>=IF($E217="","",NL("First","Item","Description","No.",$E217))</t>
  </si>
  <si>
    <t>=IF($E217="","",NL("Last","Sales Price","Unit Price","Item No.",$E217,"Ending Date","''","Sales Code","EUR PRICE"))</t>
  </si>
  <si>
    <t>=NL("First","BOM Component","Quantity per","Parent Item No.",$B217,"no.",$E217)</t>
  </si>
  <si>
    <t>=NL("First","Item","Description","No.",$B218)</t>
  </si>
  <si>
    <t>=IF($E218="","",NL("First","Item","Description","No.",$E218))</t>
  </si>
  <si>
    <t>=IF($E218="","",NL("Last","Sales Price","Unit Price","Item No.",$E218,"Ending Date","''","Sales Code","EUR PRICE"))</t>
  </si>
  <si>
    <t>=NL("First","BOM Component","Quantity per","Parent Item No.",$B218,"no.",$E218)</t>
  </si>
  <si>
    <t>=NL("First","Item","Description","No.",$B219)</t>
  </si>
  <si>
    <t>=IF($E219="","",NL("First","Item","Description","No.",$E219))</t>
  </si>
  <si>
    <t>=IF($E219="","",NL("Last","Sales Price","Unit Price","Item No.",$E219,"Ending Date","''","Sales Code","EUR PRICE"))</t>
  </si>
  <si>
    <t>=NL("First","BOM Component","Quantity per","Parent Item No.",$B219,"no.",$E219)</t>
  </si>
  <si>
    <t>=NL("First","Item","Description","No.",$B220)</t>
  </si>
  <si>
    <t>=NL("First","Item","Description","No.",$B221)</t>
  </si>
  <si>
    <t>=IF($E221="","",NL("First","Item","Description","No.",$E221))</t>
  </si>
  <si>
    <t>=IF($E221="","",NL("Last","Sales Price","Unit Price","Item No.",$E221,"Ending Date","''","Sales Code","EUR PRICE"))</t>
  </si>
  <si>
    <t>=NL("First","BOM Component","Quantity per","Parent Item No.",$B221,"no.",$E221)</t>
  </si>
  <si>
    <t>=NL("First","Item","Description","No.",$B222)</t>
  </si>
  <si>
    <t>=IF($E222="","",NL("First","Item","Description","No.",$E222))</t>
  </si>
  <si>
    <t>=IF($E222="","",NL("Last","Sales Price","Unit Price","Item No.",$E222,"Ending Date","''","Sales Code","EUR PRICE"))</t>
  </si>
  <si>
    <t>=NL("First","BOM Component","Quantity per","Parent Item No.",$B222,"no.",$E222)</t>
  </si>
  <si>
    <t>=NL("First","Item","Description","No.",$B223)</t>
  </si>
  <si>
    <t>=IF($E223="","",NL("First","Item","Description","No.",$E223))</t>
  </si>
  <si>
    <t>=IF($E223="","",NL("Last","Sales Price","Unit Price","Item No.",$E223,"Ending Date","''","Sales Code","EUR PRICE"))</t>
  </si>
  <si>
    <t>=NL("First","BOM Component","Quantity per","Parent Item No.",$B223,"no.",$E223)</t>
  </si>
  <si>
    <t>=NL("First","Item","Description","No.",$B224)</t>
  </si>
  <si>
    <t>=IF($E224="","",NL("First","Item","Description","No.",$E224))</t>
  </si>
  <si>
    <t>=IF($E224="","",NL("Last","Sales Price","Unit Price","Item No.",$E224,"Ending Date","''","Sales Code","EUR PRICE"))</t>
  </si>
  <si>
    <t>=NL("First","BOM Component","Quantity per","Parent Item No.",$B224,"no.",$E224)</t>
  </si>
  <si>
    <t>=NL("First","Item","Description","No.",$B225)</t>
  </si>
  <si>
    <t>=NL("First","Item","Description","No.",$B226)</t>
  </si>
  <si>
    <t>=IF($E226="","",NL("First","Item","Description","No.",$E226))</t>
  </si>
  <si>
    <t>=IF($E226="","",NL("Last","Sales Price","Unit Price","Item No.",$E226,"Ending Date","''","Sales Code","EUR PRICE"))</t>
  </si>
  <si>
    <t>=NL("First","BOM Component","Quantity per","Parent Item No.",$B226,"no.",$E226)</t>
  </si>
  <si>
    <t>=NL("First","Item","Description","No.",$B227)</t>
  </si>
  <si>
    <t>=IF($E227="","",NL("First","Item","Description","No.",$E227))</t>
  </si>
  <si>
    <t>=IF($E227="","",NL("Last","Sales Price","Unit Price","Item No.",$E227,"Ending Date","''","Sales Code","EUR PRICE"))</t>
  </si>
  <si>
    <t>=NL("First","BOM Component","Quantity per","Parent Item No.",$B227,"no.",$E227)</t>
  </si>
  <si>
    <t>=NL("First","Item","Description","No.",$B228)</t>
  </si>
  <si>
    <t>=IF($E228="","",NL("First","Item","Description","No.",$E228))</t>
  </si>
  <si>
    <t>=IF($E228="","",NL("Last","Sales Price","Unit Price","Item No.",$E228,"Ending Date","''","Sales Code","EUR PRICE"))</t>
  </si>
  <si>
    <t>=NL("First","BOM Component","Quantity per","Parent Item No.",$B228,"no.",$E228)</t>
  </si>
  <si>
    <t>=NL("First","Item","Description","No.",$B229)</t>
  </si>
  <si>
    <t>=IF($E229="","",NL("First","Item","Description","No.",$E229))</t>
  </si>
  <si>
    <t>=IF($E229="","",NL("Last","Sales Price","Unit Price","Item No.",$E229,"Ending Date","''","Sales Code","EUR PRICE"))</t>
  </si>
  <si>
    <t>=NL("First","BOM Component","Quantity per","Parent Item No.",$B229,"no.",$E229)</t>
  </si>
  <si>
    <t>=NL("First","Item","Description","No.",$B230)</t>
  </si>
  <si>
    <t>=IF($E230="","",NL("First","Item","Description","No.",$E230))</t>
  </si>
  <si>
    <t>=IF($E230="","",NL("Last","Sales Price","Unit Price","Item No.",$E230,"Ending Date","''","Sales Code","EUR PRICE"))</t>
  </si>
  <si>
    <t>=NL("First","BOM Component","Quantity per","Parent Item No.",$B230,"no.",$E230)</t>
  </si>
  <si>
    <t>=NL("First","Item","Description","No.",$B231)</t>
  </si>
  <si>
    <t>=NL("First","Item","Description","No.",$B232)</t>
  </si>
  <si>
    <t>=IF($E232="","",NL("First","Item","Description","No.",$E232))</t>
  </si>
  <si>
    <t>=IF($E232="","",NL("Last","Sales Price","Unit Price","Item No.",$E232,"Ending Date","''","Sales Code","EUR PRICE"))</t>
  </si>
  <si>
    <t>=NL("First","BOM Component","Quantity per","Parent Item No.",$B232,"no.",$E232)</t>
  </si>
  <si>
    <t>=NL("First","Item","Description","No.",$B233)</t>
  </si>
  <si>
    <t>=IF($E233="","",NL("First","Item","Description","No.",$E233))</t>
  </si>
  <si>
    <t>=IF($E233="","",NL("Last","Sales Price","Unit Price","Item No.",$E233,"Ending Date","''","Sales Code","EUR PRICE"))</t>
  </si>
  <si>
    <t>=NL("First","BOM Component","Quantity per","Parent Item No.",$B233,"no.",$E233)</t>
  </si>
  <si>
    <t>=NL("First","Item","Description","No.",$B234)</t>
  </si>
  <si>
    <t>=NL("Last","Sales Price","Unit Price","Item No.",$B234,"Ending Date","''","Sales Code","EUR PRICE")</t>
  </si>
  <si>
    <t>=IF($E234="","",NL("First","Item","Description","No.",$E234))</t>
  </si>
  <si>
    <t>=IF($E234="","",NL("Last","Sales Price","Unit Price","Item No.",$E234,"Ending Date","''","Sales Code","EUR PRICE"))</t>
  </si>
  <si>
    <t>=NL("First","BOM Component","Quantity per","Parent Item No.",$B234,"no.",$E234)</t>
  </si>
  <si>
    <t>=NL("First","Item","Description","No.",$B235)</t>
  </si>
  <si>
    <t>=NL("Last","Sales Price","Unit Price","Item No.",$B235,"Ending Date","''","Sales Code","EUR PRICE")</t>
  </si>
  <si>
    <t>=IF($E235="","",NL("First","Item","Description","No.",$E235))</t>
  </si>
  <si>
    <t>=IF($E235="","",NL("Last","Sales Price","Unit Price","Item No.",$E235,"Ending Date","''","Sales Code","EUR PRICE"))</t>
  </si>
  <si>
    <t>=NL("First","BOM Component","Quantity per","Parent Item No.",$B235,"no.",$E235)</t>
  </si>
  <si>
    <t>=NL("First","Item","Description","No.",$B236)</t>
  </si>
  <si>
    <t>=NL("Last","Sales Price","Unit Price","Item No.",$B236,"Ending Date","''","Sales Code","EUR PRICE")</t>
  </si>
  <si>
    <t>=NL("First","Item","Description","No.",$B237)</t>
  </si>
  <si>
    <t>=NL("Last","Sales Price","Unit Price","Item No.",$B237,"Ending Date","''","Sales Code","EUR PRICE")</t>
  </si>
  <si>
    <t>=IF($E237="","",NL("First","Item","Description","No.",$E237))</t>
  </si>
  <si>
    <t>=IF($E237="","",NL("Last","Sales Price","Unit Price","Item No.",$E237,"Ending Date","''","Sales Code","EUR PRICE"))</t>
  </si>
  <si>
    <t>=NL("First","BOM Component","Quantity per","Parent Item No.",$B237,"no.",$E237)</t>
  </si>
  <si>
    <t>=NL("First","Item","Description","No.",$B238)</t>
  </si>
  <si>
    <t>=NL("Last","Sales Price","Unit Price","Item No.",$B238,"Ending Date","''","Sales Code","EUR PRICE")</t>
  </si>
  <si>
    <t>=IF($E238="","",NL("First","Item","Description","No.",$E238))</t>
  </si>
  <si>
    <t>=IF($E238="","",NL("Last","Sales Price","Unit Price","Item No.",$E238,"Ending Date","''","Sales Code","EUR PRICE"))</t>
  </si>
  <si>
    <t>=NL("First","BOM Component","Quantity per","Parent Item No.",$B238,"no.",$E238)</t>
  </si>
  <si>
    <t>=NL("First","Item","Description","No.",$B239)</t>
  </si>
  <si>
    <t>=NL("Last","Sales Price","Unit Price","Item No.",$B239,"Ending Date","''","Sales Code","EUR PRICE")</t>
  </si>
  <si>
    <t>=IF($E239="","",NL("First","Item","Description","No.",$E239))</t>
  </si>
  <si>
    <t>=IF($E239="","",NL("Last","Sales Price","Unit Price","Item No.",$E239,"Ending Date","''","Sales Code","EUR PRICE"))</t>
  </si>
  <si>
    <t>=NL("First","BOM Component","Quantity per","Parent Item No.",$B239,"no.",$E239)</t>
  </si>
  <si>
    <t>=NL("First","Item","Description","No.",$B240)</t>
  </si>
  <si>
    <t>=NL("Last","Sales Price","Unit Price","Item No.",$B240,"Ending Date","''","Sales Code","EUR PRICE")</t>
  </si>
  <si>
    <t>=IF($E240="","",NL("First","Item","Description","No.",$E240))</t>
  </si>
  <si>
    <t>=IF($E240="","",NL("Last","Sales Price","Unit Price","Item No.",$E240,"Ending Date","''","Sales Code","EUR PRICE"))</t>
  </si>
  <si>
    <t>=NL("First","BOM Component","Quantity per","Parent Item No.",$B240,"no.",$E240)</t>
  </si>
  <si>
    <t>=NL("First","Item","Description","No.",$B241)</t>
  </si>
  <si>
    <t>=NL("Last","Sales Price","Unit Price","Item No.",$B241,"Ending Date","''","Sales Code","EUR PRICE")</t>
  </si>
  <si>
    <t>=NL("First","Item","Description","No.",$B242)</t>
  </si>
  <si>
    <t>=NL("Last","Sales Price","Unit Price","Item No.",$B242,"Ending Date","''","Sales Code","EUR PRICE")</t>
  </si>
  <si>
    <t>=IF($E242="","",NL("First","Item","Description","No.",$E242))</t>
  </si>
  <si>
    <t>=IF($E242="","",NL("Last","Sales Price","Unit Price","Item No.",$E242,"Ending Date","''","Sales Code","EUR PRICE"))</t>
  </si>
  <si>
    <t>=NL("First","BOM Component","Quantity per","Parent Item No.",$B242,"no.",$E242)</t>
  </si>
  <si>
    <t>=NL("First","Item","Description","No.",$B243)</t>
  </si>
  <si>
    <t>=NL("Last","Sales Price","Unit Price","Item No.",$B243,"Ending Date","''","Sales Code","EUR PRICE")</t>
  </si>
  <si>
    <t>=IF($E243="","",NL("First","Item","Description","No.",$E243))</t>
  </si>
  <si>
    <t>=IF($E243="","",NL("Last","Sales Price","Unit Price","Item No.",$E243,"Ending Date","''","Sales Code","EUR PRICE"))</t>
  </si>
  <si>
    <t>=NL("First","BOM Component","Quantity per","Parent Item No.",$B243,"no.",$E243)</t>
  </si>
  <si>
    <t>=NL("First","Item","Description","No.",$B244)</t>
  </si>
  <si>
    <t>=NL("Last","Sales Price","Unit Price","Item No.",$B244,"Ending Date","''","Sales Code","EUR PRICE")</t>
  </si>
  <si>
    <t>=IF($E244="","",NL("First","Item","Description","No.",$E244))</t>
  </si>
  <si>
    <t>=IF($E244="","",NL("Last","Sales Price","Unit Price","Item No.",$E244,"Ending Date","''","Sales Code","EUR PRICE"))</t>
  </si>
  <si>
    <t>=NL("First","BOM Component","Quantity per","Parent Item No.",$B244,"no.",$E244)</t>
  </si>
  <si>
    <t>=NL("First","Item","Description","No.",$B245)</t>
  </si>
  <si>
    <t>=NL("Last","Sales Price","Unit Price","Item No.",$B245,"Ending Date","''","Sales Code","EUR PRICE")</t>
  </si>
  <si>
    <t>=IF($E245="","",NL("First","Item","Description","No.",$E245))</t>
  </si>
  <si>
    <t>=IF($E245="","",NL("Last","Sales Price","Unit Price","Item No.",$E245,"Ending Date","''","Sales Code","EUR PRICE"))</t>
  </si>
  <si>
    <t>=NL("First","BOM Component","Quantity per","Parent Item No.",$B245,"no.",$E245)</t>
  </si>
  <si>
    <t>=NL("First","Item","Description","No.",$B246)</t>
  </si>
  <si>
    <t>=NL("Last","Sales Price","Unit Price","Item No.",$B246,"Ending Date","''","Sales Code","EUR PRICE")</t>
  </si>
  <si>
    <t>=IF($E246="","",NL("First","Item","Description","No.",$E246))</t>
  </si>
  <si>
    <t>=IF($E246="","",NL("Last","Sales Price","Unit Price","Item No.",$E246,"Ending Date","''","Sales Code","EUR PRICE"))</t>
  </si>
  <si>
    <t>=NL("First","BOM Component","Quantity per","Parent Item No.",$B246,"no.",$E246)</t>
  </si>
  <si>
    <t>=NL("First","Item","Description","No.",$B247)</t>
  </si>
  <si>
    <t>=NL("Last","Sales Price","Unit Price","Item No.",$B247,"Ending Date","''","Sales Code","EUR PRICE")</t>
  </si>
  <si>
    <t>=NL("First","Item","Description","No.",$B248)</t>
  </si>
  <si>
    <t>=NL("Last","Sales Price","Unit Price","Item No.",$B248,"Ending Date","''","Sales Code","EUR PRICE")</t>
  </si>
  <si>
    <t>=IF($E248="","",NL("First","Item","Description","No.",$E248))</t>
  </si>
  <si>
    <t>=IF($E248="","",NL("Last","Sales Price","Unit Price","Item No.",$E248,"Ending Date","''","Sales Code","EUR PRICE"))</t>
  </si>
  <si>
    <t>=NL("First","BOM Component","Quantity per","Parent Item No.",$B248,"no.",$E248)</t>
  </si>
  <si>
    <t>=NL("First","Item","Description","No.",$B249)</t>
  </si>
  <si>
    <t>=NL("Last","Sales Price","Unit Price","Item No.",$B249,"Ending Date","''","Sales Code","EUR PRICE")</t>
  </si>
  <si>
    <t>=IF($E249="","",NL("First","Item","Description","No.",$E249))</t>
  </si>
  <si>
    <t>=IF($E249="","",NL("Last","Sales Price","Unit Price","Item No.",$E249,"Ending Date","''","Sales Code","EUR PRICE"))</t>
  </si>
  <si>
    <t>=NL("First","BOM Component","Quantity per","Parent Item No.",$B249,"no.",$E249)</t>
  </si>
  <si>
    <t>=NL("First","Item","Description","No.",$B250)</t>
  </si>
  <si>
    <t>=NL("Last","Sales Price","Unit Price","Item No.",$B250,"Ending Date","''","Sales Code","EUR PRICE")</t>
  </si>
  <si>
    <t>=IF($E250="","",NL("First","Item","Description","No.",$E250))</t>
  </si>
  <si>
    <t>=IF($E250="","",NL("Last","Sales Price","Unit Price","Item No.",$E250,"Ending Date","''","Sales Code","EUR PRICE"))</t>
  </si>
  <si>
    <t>=NL("First","BOM Component","Quantity per","Parent Item No.",$B250,"no.",$E250)</t>
  </si>
  <si>
    <t>=NL("First","Item","Description","No.",$B251)</t>
  </si>
  <si>
    <t>=NL("Last","Sales Price","Unit Price","Item No.",$B251,"Ending Date","''","Sales Code","EUR PRICE")</t>
  </si>
  <si>
    <t>=IF($E251="","",NL("First","Item","Description","No.",$E251))</t>
  </si>
  <si>
    <t>=IF($E251="","",NL("Last","Sales Price","Unit Price","Item No.",$E251,"Ending Date","''","Sales Code","EUR PRICE"))</t>
  </si>
  <si>
    <t>=NL("First","BOM Component","Quantity per","Parent Item No.",$B251,"no.",$E251)</t>
  </si>
  <si>
    <t>=NL("First","Item","Description","No.",$B252)</t>
  </si>
  <si>
    <t>=NL("Last","Sales Price","Unit Price","Item No.",$B252,"Ending Date","''","Sales Code","EUR PRICE")</t>
  </si>
  <si>
    <t>=NL("First","Item","Description","No.",$B253)</t>
  </si>
  <si>
    <t>=NL("Last","Sales Price","Unit Price","Item No.",$B253,"Ending Date","''","Sales Code","EUR PRICE")</t>
  </si>
  <si>
    <t>=IF($E253="","",NL("First","Item","Description","No.",$E253))</t>
  </si>
  <si>
    <t>=IF($E253="","",NL("Last","Sales Price","Unit Price","Item No.",$E253,"Ending Date","''","Sales Code","EUR PRICE"))</t>
  </si>
  <si>
    <t>=NL("First","BOM Component","Quantity per","Parent Item No.",$B253,"no.",$E253)</t>
  </si>
  <si>
    <t>=NL("First","Item","Description","No.",$B254)</t>
  </si>
  <si>
    <t>=NL("Last","Sales Price","Unit Price","Item No.",$B254,"Ending Date","''","Sales Code","EUR PRICE")</t>
  </si>
  <si>
    <t>=IF($E254="","",NL("First","Item","Description","No.",$E254))</t>
  </si>
  <si>
    <t>=IF($E254="","",NL("Last","Sales Price","Unit Price","Item No.",$E254,"Ending Date","''","Sales Code","EUR PRICE"))</t>
  </si>
  <si>
    <t>=NL("First","BOM Component","Quantity per","Parent Item No.",$B254,"no.",$E254)</t>
  </si>
  <si>
    <t>=NL("First","Item","Description","No.",$B255)</t>
  </si>
  <si>
    <t>=NL("Last","Sales Price","Unit Price","Item No.",$B255,"Ending Date","''","Sales Code","EUR PRICE")</t>
  </si>
  <si>
    <t>=IF($E255="","",NL("First","Item","Description","No.",$E255))</t>
  </si>
  <si>
    <t>=IF($E255="","",NL("Last","Sales Price","Unit Price","Item No.",$E255,"Ending Date","''","Sales Code","EUR PRICE"))</t>
  </si>
  <si>
    <t>=NL("First","BOM Component","Quantity per","Parent Item No.",$B255,"no.",$E255)</t>
  </si>
  <si>
    <t>=NL("First","Item","Description","No.",$B256)</t>
  </si>
  <si>
    <t>=NL("Last","Sales Price","Unit Price","Item No.",$B256,"Ending Date","''","Sales Code","EUR PRICE")</t>
  </si>
  <si>
    <t>=IF($E256="","",NL("First","Item","Description","No.",$E256))</t>
  </si>
  <si>
    <t>=IF($E256="","",NL("Last","Sales Price","Unit Price","Item No.",$E256,"Ending Date","''","Sales Code","EUR PRICE"))</t>
  </si>
  <si>
    <t>=NL("First","BOM Component","Quantity per","Parent Item No.",$B256,"no.",$E256)</t>
  </si>
  <si>
    <t>=NL("First","Item","Description","No.",$B257)</t>
  </si>
  <si>
    <t>=NL("Last","Sales Price","Unit Price","Item No.",$B257,"Ending Date","''","Sales Code","EUR PRICE")</t>
  </si>
  <si>
    <t>=NL("First","Item","Description","No.",$B258)</t>
  </si>
  <si>
    <t>=NL("Last","Sales Price","Unit Price","Item No.",$B258,"Ending Date","''","Sales Code","EUR PRICE")</t>
  </si>
  <si>
    <t>=IF($E258="","",NL("First","Item","Description","No.",$E258))</t>
  </si>
  <si>
    <t>=IF($E258="","",NL("Last","Sales Price","Unit Price","Item No.",$E258,"Ending Date","''","Sales Code","EUR PRICE"))</t>
  </si>
  <si>
    <t>=NL("First","BOM Component","Quantity per","Parent Item No.",$B258,"no.",$E258)</t>
  </si>
  <si>
    <t>=NL("First","Item","Description","No.",$B259)</t>
  </si>
  <si>
    <t>=NL("Last","Sales Price","Unit Price","Item No.",$B259,"Ending Date","''","Sales Code","EUR PRICE")</t>
  </si>
  <si>
    <t>=IF($E259="","",NL("First","Item","Description","No.",$E259))</t>
  </si>
  <si>
    <t>=IF($E259="","",NL("Last","Sales Price","Unit Price","Item No.",$E259,"Ending Date","''","Sales Code","EUR PRICE"))</t>
  </si>
  <si>
    <t>=NL("First","BOM Component","Quantity per","Parent Item No.",$B259,"no.",$E259)</t>
  </si>
  <si>
    <t>=NL("First","Item","Description","No.",$B260)</t>
  </si>
  <si>
    <t>=NL("Last","Sales Price","Unit Price","Item No.",$B260,"Ending Date","''","Sales Code","EUR PRICE")</t>
  </si>
  <si>
    <t>=IF($E260="","",NL("First","Item","Description","No.",$E260))</t>
  </si>
  <si>
    <t>=IF($E260="","",NL("Last","Sales Price","Unit Price","Item No.",$E260,"Ending Date","''","Sales Code","EUR PRICE"))</t>
  </si>
  <si>
    <t>=NL("First","BOM Component","Quantity per","Parent Item No.",$B260,"no.",$E260)</t>
  </si>
  <si>
    <t>=NL("First","Item","Description","No.",$B261)</t>
  </si>
  <si>
    <t>=NL("Last","Sales Price","Unit Price","Item No.",$B261,"Ending Date","''","Sales Code","EUR PRICE")</t>
  </si>
  <si>
    <t>=IF($E261="","",NL("First","Item","Description","No.",$E261))</t>
  </si>
  <si>
    <t>=IF($E261="","",NL("Last","Sales Price","Unit Price","Item No.",$E261,"Ending Date","''","Sales Code","EUR PRICE"))</t>
  </si>
  <si>
    <t>=NL("First","BOM Component","Quantity per","Parent Item No.",$B261,"no.",$E261)</t>
  </si>
  <si>
    <t>=NL("First","Item","Description","No.",$B262)</t>
  </si>
  <si>
    <t>=NL("Last","Sales Price","Unit Price","Item No.",$B262,"Ending Date","''","Sales Code","EUR PRICE")</t>
  </si>
  <si>
    <t>=IF($E262="","",NL("First","Item","Description","No.",$E262))</t>
  </si>
  <si>
    <t>=IF($E262="","",NL("Last","Sales Price","Unit Price","Item No.",$E262,"Ending Date","''","Sales Code","EUR PRICE"))</t>
  </si>
  <si>
    <t>=NL("First","BOM Component","Quantity per","Parent Item No.",$B262,"no.",$E262)</t>
  </si>
  <si>
    <t>=NL("First","Item","Description","No.",$B263)</t>
  </si>
  <si>
    <t>=NL("Last","Sales Price","Unit Price","Item No.",$B263,"Ending Date","''","Sales Code","EUR PRICE")</t>
  </si>
  <si>
    <t>=NL("First","Item","Description","No.",$B264)</t>
  </si>
  <si>
    <t>=NL("Last","Sales Price","Unit Price","Item No.",$B264,"Ending Date","''","Sales Code","EUR PRICE")</t>
  </si>
  <si>
    <t>=IF($E264="","",NL("First","Item","Description","No.",$E264))</t>
  </si>
  <si>
    <t>=IF($E264="","",NL("Last","Sales Price","Unit Price","Item No.",$E264,"Ending Date","''","Sales Code","EUR PRICE"))</t>
  </si>
  <si>
    <t>=NL("First","BOM Component","Quantity per","Parent Item No.",$B264,"no.",$E264)</t>
  </si>
  <si>
    <t>=NL("First","Item","Description","No.",$B265)</t>
  </si>
  <si>
    <t>=NL("Last","Sales Price","Unit Price","Item No.",$B265,"Ending Date","''","Sales Code","EUR PRICE")</t>
  </si>
  <si>
    <t>=IF($E265="","",NL("First","Item","Description","No.",$E265))</t>
  </si>
  <si>
    <t>=IF($E265="","",NL("Last","Sales Price","Unit Price","Item No.",$E265,"Ending Date","''","Sales Code","EUR PRICE"))</t>
  </si>
  <si>
    <t>=NL("First","BOM Component","Quantity per","Parent Item No.",$B265,"no.",$E265)</t>
  </si>
  <si>
    <t>=NL("First","Item","Description","No.",$B266)</t>
  </si>
  <si>
    <t>=NL("Last","Sales Price","Unit Price","Item No.",$B266,"Ending Date","''","Sales Code","EUR PRICE")</t>
  </si>
  <si>
    <t>=IF($E266="","",NL("First","Item","Description","No.",$E266))</t>
  </si>
  <si>
    <t>=IF($E266="","",NL("Last","Sales Price","Unit Price","Item No.",$E266,"Ending Date","''","Sales Code","EUR PRICE"))</t>
  </si>
  <si>
    <t>=NL("First","BOM Component","Quantity per","Parent Item No.",$B266,"no.",$E266)</t>
  </si>
  <si>
    <t>=NL("First","Item","Description","No.",$B267)</t>
  </si>
  <si>
    <t>=NL("Last","Sales Price","Unit Price","Item No.",$B267,"Ending Date","''","Sales Code","EUR PRICE")</t>
  </si>
  <si>
    <t>=IF($E267="","",NL("First","Item","Description","No.",$E267))</t>
  </si>
  <si>
    <t>=IF($E267="","",NL("Last","Sales Price","Unit Price","Item No.",$E267,"Ending Date","''","Sales Code","EUR PRICE"))</t>
  </si>
  <si>
    <t>=NL("First","BOM Component","Quantity per","Parent Item No.",$B267,"no.",$E267)</t>
  </si>
  <si>
    <t>=NL("First","Item","Description","No.",$B268)</t>
  </si>
  <si>
    <t>=NL("Last","Sales Price","Unit Price","Item No.",$B268,"Ending Date","''","Sales Code","EUR PRICE")</t>
  </si>
  <si>
    <t>=NL("First","Item","Description","No.",$B269)</t>
  </si>
  <si>
    <t>=NL("Last","Sales Price","Unit Price","Item No.",$B269,"Ending Date","''","Sales Code","EUR PRICE")</t>
  </si>
  <si>
    <t>=IF($E269="","",NL("First","Item","Description","No.",$E269))</t>
  </si>
  <si>
    <t>=IF($E269="","",NL("Last","Sales Price","Unit Price","Item No.",$E269,"Ending Date","''","Sales Code","EUR PRICE"))</t>
  </si>
  <si>
    <t>=NL("First","BOM Component","Quantity per","Parent Item No.",$B269,"no.",$E269)</t>
  </si>
  <si>
    <t>=NL("First","Item","Description","No.",$B270)</t>
  </si>
  <si>
    <t>=NL("Last","Sales Price","Unit Price","Item No.",$B270,"Ending Date","''","Sales Code","EUR PRICE")</t>
  </si>
  <si>
    <t>=IF($E270="","",NL("First","Item","Description","No.",$E270))</t>
  </si>
  <si>
    <t>=IF($E270="","",NL("Last","Sales Price","Unit Price","Item No.",$E270,"Ending Date","''","Sales Code","EUR PRICE"))</t>
  </si>
  <si>
    <t>=NL("First","BOM Component","Quantity per","Parent Item No.",$B270,"no.",$E270)</t>
  </si>
  <si>
    <t>=NL("First","Item","Description","No.",$B271)</t>
  </si>
  <si>
    <t>=NL("Last","Sales Price","Unit Price","Item No.",$B271,"Ending Date","''","Sales Code","EUR PRICE")</t>
  </si>
  <si>
    <t>=NL("First","Item","Description","No.",$B272)</t>
  </si>
  <si>
    <t>=NL("Last","Sales Price","Unit Price","Item No.",$B272,"Ending Date","''","Sales Code","EUR PRICE")</t>
  </si>
  <si>
    <t>=IF($E272="","",NL("First","Item","Description","No.",$E272))</t>
  </si>
  <si>
    <t>=IF($E272="","",NL("Last","Sales Price","Unit Price","Item No.",$E272,"Ending Date","''","Sales Code","EUR PRICE"))</t>
  </si>
  <si>
    <t>=NL("First","BOM Component","Quantity per","Parent Item No.",$B272,"no.",$E272)</t>
  </si>
  <si>
    <t>=NL("First","Item","Description","No.",$B273)</t>
  </si>
  <si>
    <t>=NL("Last","Sales Price","Unit Price","Item No.",$B273,"Ending Date","''","Sales Code","EUR PRICE")</t>
  </si>
  <si>
    <t>=IF($E273="","",NL("First","Item","Description","No.",$E273))</t>
  </si>
  <si>
    <t>=IF($E273="","",NL("Last","Sales Price","Unit Price","Item No.",$E273,"Ending Date","''","Sales Code","EUR PRICE"))</t>
  </si>
  <si>
    <t>=NL("First","BOM Component","Quantity per","Parent Item No.",$B273,"no.",$E273)</t>
  </si>
  <si>
    <t>=NL("First","Item","Description","No.",$B274)</t>
  </si>
  <si>
    <t>=NL("Last","Sales Price","Unit Price","Item No.",$B274,"Ending Date","''","Sales Code","EUR PRICE")</t>
  </si>
  <si>
    <t>=NL("First","Item","Description","No.",$B275)</t>
  </si>
  <si>
    <t>=NL("Last","Sales Price","Unit Price","Item No.",$B275,"Ending Date","''","Sales Code","EUR PRICE")</t>
  </si>
  <si>
    <t>=IF($E275="","",NL("First","Item","Description","No.",$E275))</t>
  </si>
  <si>
    <t>=IF($E275="","",NL("Last","Sales Price","Unit Price","Item No.",$E275,"Ending Date","''","Sales Code","EUR PRICE"))</t>
  </si>
  <si>
    <t>=NL("First","BOM Component","Quantity per","Parent Item No.",$B275,"no.",$E275)</t>
  </si>
  <si>
    <t>=NL("First","Item","Description","No.",$B276)</t>
  </si>
  <si>
    <t>=NL("Last","Sales Price","Unit Price","Item No.",$B276,"Ending Date","''","Sales Code","EUR PRICE")</t>
  </si>
  <si>
    <t>=IF($E276="","",NL("First","Item","Description","No.",$E276))</t>
  </si>
  <si>
    <t>=IF($E276="","",NL("Last","Sales Price","Unit Price","Item No.",$E276,"Ending Date","''","Sales Code","EUR PRICE"))</t>
  </si>
  <si>
    <t>=NL("First","BOM Component","Quantity per","Parent Item No.",$B276,"no.",$E276)</t>
  </si>
  <si>
    <t>=NL("First","Item","Description","No.",$B277)</t>
  </si>
  <si>
    <t>=NL("Last","Sales Price","Unit Price","Item No.",$B277,"Ending Date","''","Sales Code","EUR PRICE")</t>
  </si>
  <si>
    <t>=IF($E277="","",NL("First","Item","Description","No.",$E277))</t>
  </si>
  <si>
    <t>=IF($E277="","",NL("Last","Sales Price","Unit Price","Item No.",$E277,"Ending Date","''","Sales Code","EUR PRICE"))</t>
  </si>
  <si>
    <t>=NL("First","BOM Component","Quantity per","Parent Item No.",$B277,"no.",$E277)</t>
  </si>
  <si>
    <t>=NL("First","Item","Description","No.",$B278)</t>
  </si>
  <si>
    <t>=NL("Last","Sales Price","Unit Price","Item No.",$B278,"Ending Date","''","Sales Code","EUR PRICE")</t>
  </si>
  <si>
    <t>=IF($E278="","",NL("First","Item","Description","No.",$E278))</t>
  </si>
  <si>
    <t>=IF($E278="","",NL("Last","Sales Price","Unit Price","Item No.",$E278,"Ending Date","''","Sales Code","EUR PRICE"))</t>
  </si>
  <si>
    <t>=NL("First","BOM Component","Quantity per","Parent Item No.",$B278,"no.",$E278)</t>
  </si>
  <si>
    <t>=NL("First","Item","Description","No.",$B279)</t>
  </si>
  <si>
    <t>=NL("Last","Sales Price","Unit Price","Item No.",$B279,"Ending Date","''","Sales Code","EUR PRICE")</t>
  </si>
  <si>
    <t>=NL("First","Item","Description","No.",$B280)</t>
  </si>
  <si>
    <t>=NL("Last","Sales Price","Unit Price","Item No.",$B280,"Ending Date","''","Sales Code","EUR PRICE")</t>
  </si>
  <si>
    <t>=IF($E280="","",NL("First","Item","Description","No.",$E280))</t>
  </si>
  <si>
    <t>=IF($E280="","",NL("Last","Sales Price","Unit Price","Item No.",$E280,"Ending Date","''","Sales Code","EUR PRICE"))</t>
  </si>
  <si>
    <t>=NL("First","BOM Component","Quantity per","Parent Item No.",$B280,"no.",$E280)</t>
  </si>
  <si>
    <t>=NL("First","Item","Description","No.",$B281)</t>
  </si>
  <si>
    <t>=NL("Last","Sales Price","Unit Price","Item No.",$B281,"Ending Date","''","Sales Code","EUR PRICE")</t>
  </si>
  <si>
    <t>=IF($E281="","",NL("First","Item","Description","No.",$E281))</t>
  </si>
  <si>
    <t>=IF($E281="","",NL("Last","Sales Price","Unit Price","Item No.",$E281,"Ending Date","''","Sales Code","EUR PRICE"))</t>
  </si>
  <si>
    <t>=NL("First","BOM Component","Quantity per","Parent Item No.",$B281,"no.",$E281)</t>
  </si>
  <si>
    <t>=NL("First","Item","Description","No.",$B282)</t>
  </si>
  <si>
    <t>=NL("Last","Sales Price","Unit Price","Item No.",$B282,"Ending Date","''","Sales Code","EUR PRICE")</t>
  </si>
  <si>
    <t>=IF($E282="","",NL("First","Item","Description","No.",$E282))</t>
  </si>
  <si>
    <t>=IF($E282="","",NL("Last","Sales Price","Unit Price","Item No.",$E282,"Ending Date","''","Sales Code","EUR PRICE"))</t>
  </si>
  <si>
    <t>=NL("First","BOM Component","Quantity per","Parent Item No.",$B282,"no.",$E282)</t>
  </si>
  <si>
    <t>=NL("First","Item","Description","No.",$B283)</t>
  </si>
  <si>
    <t>=NL("Last","Sales Price","Unit Price","Item No.",$B283,"Ending Date","''","Sales Code","EUR PRICE")</t>
  </si>
  <si>
    <t>=IF($E283="","",NL("First","Item","Description","No.",$E283))</t>
  </si>
  <si>
    <t>=IF($E283="","",NL("Last","Sales Price","Unit Price","Item No.",$E283,"Ending Date","''","Sales Code","EUR PRICE"))</t>
  </si>
  <si>
    <t>=NL("First","BOM Component","Quantity per","Parent Item No.",$B283,"no.",$E283)</t>
  </si>
  <si>
    <t>=NL("First","Item","Description","No.",$B284)</t>
  </si>
  <si>
    <t>=NL("Last","Sales Price","Unit Price","Item No.",$B284,"Ending Date","''","Sales Code","EUR PRICE")</t>
  </si>
  <si>
    <t>=NL("First","Item","Description","No.",$B285)</t>
  </si>
  <si>
    <t>=NL("Last","Sales Price","Unit Price","Item No.",$B285,"Ending Date","''","Sales Code","EUR PRICE")</t>
  </si>
  <si>
    <t>=IF($E285="","",NL("First","Item","Description","No.",$E285))</t>
  </si>
  <si>
    <t>=IF($E285="","",NL("Last","Sales Price","Unit Price","Item No.",$E285,"Ending Date","''","Sales Code","EUR PRICE"))</t>
  </si>
  <si>
    <t>=NL("First","BOM Component","Quantity per","Parent Item No.",$B285,"no.",$E285)</t>
  </si>
  <si>
    <t>=NL("First","Item","Description","No.",$B286)</t>
  </si>
  <si>
    <t>=NL("Last","Sales Price","Unit Price","Item No.",$B286,"Ending Date","''","Sales Code","EUR PRICE")</t>
  </si>
  <si>
    <t>=IF($E286="","",NL("First","Item","Description","No.",$E286))</t>
  </si>
  <si>
    <t>=IF($E286="","",NL("Last","Sales Price","Unit Price","Item No.",$E286,"Ending Date","''","Sales Code","EUR PRICE"))</t>
  </si>
  <si>
    <t>=NL("First","BOM Component","Quantity per","Parent Item No.",$B286,"no.",$E286)</t>
  </si>
  <si>
    <t>=NL("First","Item","Description","No.",$B287)</t>
  </si>
  <si>
    <t>=NL("Last","Sales Price","Unit Price","Item No.",$B287,"Ending Date","''","Sales Code","EUR PRICE")</t>
  </si>
  <si>
    <t>=IF($E287="","",NL("First","Item","Description","No.",$E287))</t>
  </si>
  <si>
    <t>=IF($E287="","",NL("Last","Sales Price","Unit Price","Item No.",$E287,"Ending Date","''","Sales Code","EUR PRICE"))</t>
  </si>
  <si>
    <t>=NL("First","BOM Component","Quantity per","Parent Item No.",$B287,"no.",$E287)</t>
  </si>
  <si>
    <t>=NL("First","Item","Description","No.",$B288)</t>
  </si>
  <si>
    <t>=NL("Last","Sales Price","Unit Price","Item No.",$B288,"Ending Date","''","Sales Code","EUR PRICE")</t>
  </si>
  <si>
    <t>=IF($E288="","",NL("First","Item","Description","No.",$E288))</t>
  </si>
  <si>
    <t>=IF($E288="","",NL("Last","Sales Price","Unit Price","Item No.",$E288,"Ending Date","''","Sales Code","EUR PRICE"))</t>
  </si>
  <si>
    <t>=NL("First","BOM Component","Quantity per","Parent Item No.",$B288,"no.",$E288)</t>
  </si>
  <si>
    <t>=NL("First","Item","Description","No.",$B289)</t>
  </si>
  <si>
    <t>=NL("Last","Sales Price","Unit Price","Item No.",$B289,"Ending Date","''","Sales Code","EUR PRICE")</t>
  </si>
  <si>
    <t>=NL("First","Item","Description","No.",$B290)</t>
  </si>
  <si>
    <t>=NL("Last","Sales Price","Unit Price","Item No.",$B290,"Ending Date","''","Sales Code","EUR PRICE")</t>
  </si>
  <si>
    <t>=IF($E290="","",NL("First","Item","Description","No.",$E290))</t>
  </si>
  <si>
    <t>=IF($E290="","",NL("Last","Sales Price","Unit Price","Item No.",$E290,"Ending Date","''","Sales Code","EUR PRICE"))</t>
  </si>
  <si>
    <t>=NL("First","BOM Component","Quantity per","Parent Item No.",$B290,"no.",$E290)</t>
  </si>
  <si>
    <t>=NL("First","Item","Description","No.",$B291)</t>
  </si>
  <si>
    <t>=NL("Last","Sales Price","Unit Price","Item No.",$B291,"Ending Date","''","Sales Code","EUR PRICE")</t>
  </si>
  <si>
    <t>=IF($E291="","",NL("First","Item","Description","No.",$E291))</t>
  </si>
  <si>
    <t>=IF($E291="","",NL("Last","Sales Price","Unit Price","Item No.",$E291,"Ending Date","''","Sales Code","EUR PRICE"))</t>
  </si>
  <si>
    <t>=NL("First","BOM Component","Quantity per","Parent Item No.",$B291,"no.",$E291)</t>
  </si>
  <si>
    <t>=NL("First","Item","Description","No.",$B292)</t>
  </si>
  <si>
    <t>=NL("Last","Sales Price","Unit Price","Item No.",$B292,"Ending Date","''","Sales Code","EUR PRICE")</t>
  </si>
  <si>
    <t>=IF($E292="","",NL("First","Item","Description","No.",$E292))</t>
  </si>
  <si>
    <t>=IF($E292="","",NL("Last","Sales Price","Unit Price","Item No.",$E292,"Ending Date","''","Sales Code","EUR PRICE"))</t>
  </si>
  <si>
    <t>=NL("First","BOM Component","Quantity per","Parent Item No.",$B292,"no.",$E292)</t>
  </si>
  <si>
    <t>=NL("First","Item","Description","No.",$B293)</t>
  </si>
  <si>
    <t>=NL("Last","Sales Price","Unit Price","Item No.",$B293,"Ending Date","''","Sales Code","EUR PRICE")</t>
  </si>
  <si>
    <t>=IF($E293="","",NL("First","Item","Description","No.",$E293))</t>
  </si>
  <si>
    <t>=IF($E293="","",NL("Last","Sales Price","Unit Price","Item No.",$E293,"Ending Date","''","Sales Code","EUR PRICE"))</t>
  </si>
  <si>
    <t>=NL("First","BOM Component","Quantity per","Parent Item No.",$B293,"no.",$E293)</t>
  </si>
  <si>
    <t>=NL("First","Item","Description","No.",$B294)</t>
  </si>
  <si>
    <t>=NL("Last","Sales Price","Unit Price","Item No.",$B294,"Ending Date","''","Sales Code","EUR PRICE")</t>
  </si>
  <si>
    <t>=NL("First","Item","Description","No.",$B295)</t>
  </si>
  <si>
    <t>=NL("Last","Sales Price","Unit Price","Item No.",$B295,"Ending Date","''","Sales Code","EUR PRICE")</t>
  </si>
  <si>
    <t>=IF($E295="","",NL("First","Item","Description","No.",$E295))</t>
  </si>
  <si>
    <t>=IF($E295="","",NL("Last","Sales Price","Unit Price","Item No.",$E295,"Ending Date","''","Sales Code","EUR PRICE"))</t>
  </si>
  <si>
    <t>=NL("First","BOM Component","Quantity per","Parent Item No.",$B295,"no.",$E295)</t>
  </si>
  <si>
    <t>=NL("First","Item","Description","No.",$B296)</t>
  </si>
  <si>
    <t>=NL("Last","Sales Price","Unit Price","Item No.",$B296,"Ending Date","''","Sales Code","EUR PRICE")</t>
  </si>
  <si>
    <t>=IF($E296="","",NL("First","Item","Description","No.",$E296))</t>
  </si>
  <si>
    <t>=IF($E296="","",NL("Last","Sales Price","Unit Price","Item No.",$E296,"Ending Date","''","Sales Code","EUR PRICE"))</t>
  </si>
  <si>
    <t>=NL("First","BOM Component","Quantity per","Parent Item No.",$B296,"no.",$E296)</t>
  </si>
  <si>
    <t>=NL("First","Item","Description","No.",$B297)</t>
  </si>
  <si>
    <t>=NL("Last","Sales Price","Unit Price","Item No.",$B297,"Ending Date","''","Sales Code","EUR PRICE")</t>
  </si>
  <si>
    <t>=IF($E297="","",NL("First","Item","Description","No.",$E297))</t>
  </si>
  <si>
    <t>=IF($E297="","",NL("Last","Sales Price","Unit Price","Item No.",$E297,"Ending Date","''","Sales Code","EUR PRICE"))</t>
  </si>
  <si>
    <t>=NL("First","BOM Component","Quantity per","Parent Item No.",$B297,"no.",$E297)</t>
  </si>
  <si>
    <t>=NL("First","Item","Description","No.",$B298)</t>
  </si>
  <si>
    <t>=NL("Last","Sales Price","Unit Price","Item No.",$B298,"Ending Date","''","Sales Code","EUR PRICE")</t>
  </si>
  <si>
    <t>=NL("First","Item","Description","No.",$B299)</t>
  </si>
  <si>
    <t>=NL("Last","Sales Price","Unit Price","Item No.",$B299,"Ending Date","''","Sales Code","EUR PRICE")</t>
  </si>
  <si>
    <t>=IF($E299="","",NL("First","Item","Description","No.",$E299))</t>
  </si>
  <si>
    <t>=IF($E299="","",NL("Last","Sales Price","Unit Price","Item No.",$E299,"Ending Date","''","Sales Code","EUR PRICE"))</t>
  </si>
  <si>
    <t>=NL("First","BOM Component","Quantity per","Parent Item No.",$B299,"no.",$E299)</t>
  </si>
  <si>
    <t>=NL("First","Item","Description","No.",$B300)</t>
  </si>
  <si>
    <t>=NL("Last","Sales Price","Unit Price","Item No.",$B300,"Ending Date","''","Sales Code","EUR PRICE")</t>
  </si>
  <si>
    <t>=IF($E300="","",NL("First","Item","Description","No.",$E300))</t>
  </si>
  <si>
    <t>=IF($E300="","",NL("Last","Sales Price","Unit Price","Item No.",$E300,"Ending Date","''","Sales Code","EUR PRICE"))</t>
  </si>
  <si>
    <t>=NL("First","BOM Component","Quantity per","Parent Item No.",$B300,"no.",$E300)</t>
  </si>
  <si>
    <t>=NL("First","Item","Description","No.",$B301)</t>
  </si>
  <si>
    <t>=NL("Last","Sales Price","Unit Price","Item No.",$B301,"Ending Date","''","Sales Code","EUR PRICE")</t>
  </si>
  <si>
    <t>=IF($E301="","",NL("First","Item","Description","No.",$E301))</t>
  </si>
  <si>
    <t>=IF($E301="","",NL("Last","Sales Price","Unit Price","Item No.",$E301,"Ending Date","''","Sales Code","EUR PRICE"))</t>
  </si>
  <si>
    <t>=NL("First","BOM Component","Quantity per","Parent Item No.",$B301,"no.",$E301)</t>
  </si>
  <si>
    <t>=NL("First","Item","Description","No.",$B302)</t>
  </si>
  <si>
    <t>=NL("Last","Sales Price","Unit Price","Item No.",$B302,"Ending Date","''","Sales Code","EUR PRICE")</t>
  </si>
  <si>
    <t>=NL("First","Item","Description","No.",$B303)</t>
  </si>
  <si>
    <t>=NL("Last","Sales Price","Unit Price","Item No.",$B303,"Ending Date","''","Sales Code","EUR PRICE")</t>
  </si>
  <si>
    <t>=IF($E303="","",NL("First","Item","Description","No.",$E303))</t>
  </si>
  <si>
    <t>=IF($E303="","",NL("Last","Sales Price","Unit Price","Item No.",$E303,"Ending Date","''","Sales Code","EUR PRICE"))</t>
  </si>
  <si>
    <t>=NL("First","BOM Component","Quantity per","Parent Item No.",$B303,"no.",$E303)</t>
  </si>
  <si>
    <t>=NL("First","Item","Description","No.",$B304)</t>
  </si>
  <si>
    <t>=NL("Last","Sales Price","Unit Price","Item No.",$B304,"Ending Date","''","Sales Code","EUR PRICE")</t>
  </si>
  <si>
    <t>=IF($E304="","",NL("First","Item","Description","No.",$E304))</t>
  </si>
  <si>
    <t>=IF($E304="","",NL("Last","Sales Price","Unit Price","Item No.",$E304,"Ending Date","''","Sales Code","EUR PRICE"))</t>
  </si>
  <si>
    <t>=NL("First","BOM Component","Quantity per","Parent Item No.",$B304,"no.",$E304)</t>
  </si>
  <si>
    <t>=NL("First","Item","Description","No.",$B305)</t>
  </si>
  <si>
    <t>=NL("Last","Sales Price","Unit Price","Item No.",$B305,"Ending Date","''","Sales Code","EUR PRICE")</t>
  </si>
  <si>
    <t>=IF($E305="","",NL("First","Item","Description","No.",$E305))</t>
  </si>
  <si>
    <t>=IF($E305="","",NL("Last","Sales Price","Unit Price","Item No.",$E305,"Ending Date","''","Sales Code","EUR PRICE"))</t>
  </si>
  <si>
    <t>=NL("First","BOM Component","Quantity per","Parent Item No.",$B305,"no.",$E305)</t>
  </si>
  <si>
    <t>=NL("First","Item","Description","No.",$B306)</t>
  </si>
  <si>
    <t>=NL("Last","Sales Price","Unit Price","Item No.",$B306,"Ending Date","''","Sales Code","EUR PRICE")</t>
  </si>
  <si>
    <t>=NL("First","Item","Description","No.",$B307)</t>
  </si>
  <si>
    <t>=NL("Last","Sales Price","Unit Price","Item No.",$B307,"Ending Date","''","Sales Code","EUR PRICE")</t>
  </si>
  <si>
    <t>=IF($E307="","",NL("First","Item","Description","No.",$E307))</t>
  </si>
  <si>
    <t>=IF($E307="","",NL("Last","Sales Price","Unit Price","Item No.",$E307,"Ending Date","''","Sales Code","EUR PRICE"))</t>
  </si>
  <si>
    <t>=NL("First","BOM Component","Quantity per","Parent Item No.",$B307,"no.",$E307)</t>
  </si>
  <si>
    <t>=NL("First","Item","Description","No.",$B308)</t>
  </si>
  <si>
    <t>=NL("Last","Sales Price","Unit Price","Item No.",$B308,"Ending Date","''","Sales Code","EUR PRICE")</t>
  </si>
  <si>
    <t>=IF($E308="","",NL("First","Item","Description","No.",$E308))</t>
  </si>
  <si>
    <t>=IF($E308="","",NL("Last","Sales Price","Unit Price","Item No.",$E308,"Ending Date","''","Sales Code","EUR PRICE"))</t>
  </si>
  <si>
    <t>=NL("First","BOM Component","Quantity per","Parent Item No.",$B308,"no.",$E308)</t>
  </si>
  <si>
    <t>=NL("First","Item","Description","No.",$B309)</t>
  </si>
  <si>
    <t>=NL("Last","Sales Price","Unit Price","Item No.",$B309,"Ending Date","''","Sales Code","EUR PRICE")</t>
  </si>
  <si>
    <t>=NL("First","Item","Description","No.",$B310)</t>
  </si>
  <si>
    <t>=NL("Last","Sales Price","Unit Price","Item No.",$B310,"Ending Date","''","Sales Code","EUR PRICE")</t>
  </si>
  <si>
    <t>=IF($E310="","",NL("First","Item","Description","No.",$E310))</t>
  </si>
  <si>
    <t>=IF($E310="","",NL("Last","Sales Price","Unit Price","Item No.",$E310,"Ending Date","''","Sales Code","EUR PRICE"))</t>
  </si>
  <si>
    <t>=NL("First","BOM Component","Quantity per","Parent Item No.",$B310,"no.",$E310)</t>
  </si>
  <si>
    <t>=NL("First","Item","Description","No.",$B311)</t>
  </si>
  <si>
    <t>=NL("Last","Sales Price","Unit Price","Item No.",$B311,"Ending Date","''","Sales Code","EUR PRICE")</t>
  </si>
  <si>
    <t>=IF($E311="","",NL("First","Item","Description","No.",$E311))</t>
  </si>
  <si>
    <t>=IF($E311="","",NL("Last","Sales Price","Unit Price","Item No.",$E311,"Ending Date","''","Sales Code","EUR PRICE"))</t>
  </si>
  <si>
    <t>=NL("First","BOM Component","Quantity per","Parent Item No.",$B311,"no.",$E311)</t>
  </si>
  <si>
    <t>=NL("First","Item","Description","No.",$B312)</t>
  </si>
  <si>
    <t>=NL("Last","Sales Price","Unit Price","Item No.",$B312,"Ending Date","''","Sales Code","EUR PRICE")</t>
  </si>
  <si>
    <t>=IF($E312="","",NL("First","Item","Description","No.",$E312))</t>
  </si>
  <si>
    <t>=IF($E312="","",NL("Last","Sales Price","Unit Price","Item No.",$E312,"Ending Date","''","Sales Code","EUR PRICE"))</t>
  </si>
  <si>
    <t>=NL("First","BOM Component","Quantity per","Parent Item No.",$B312,"no.",$E312)</t>
  </si>
  <si>
    <t>=NL("First","Item","Description","No.",$B313)</t>
  </si>
  <si>
    <t>=NL("Last","Sales Price","Unit Price","Item No.",$B313,"Ending Date","''","Sales Code","EUR PRICE")</t>
  </si>
  <si>
    <t>=NL("First","Item","Description","No.",$B314)</t>
  </si>
  <si>
    <t>=NL("Last","Sales Price","Unit Price","Item No.",$B314,"Ending Date","''","Sales Code","EUR PRICE")</t>
  </si>
  <si>
    <t>=IF($E314="","",NL("First","Item","Description","No.",$E314))</t>
  </si>
  <si>
    <t>=IF($E314="","",NL("Last","Sales Price","Unit Price","Item No.",$E314,"Ending Date","''","Sales Code","EUR PRICE"))</t>
  </si>
  <si>
    <t>=NL("First","BOM Component","Quantity per","Parent Item No.",$B314,"no.",$E314)</t>
  </si>
  <si>
    <t>=NL("First","Item","Description","No.",$B315)</t>
  </si>
  <si>
    <t>=NL("Last","Sales Price","Unit Price","Item No.",$B315,"Ending Date","''","Sales Code","EUR PRICE")</t>
  </si>
  <si>
    <t>=IF($E315="","",NL("First","Item","Description","No.",$E315))</t>
  </si>
  <si>
    <t>=IF($E315="","",NL("Last","Sales Price","Unit Price","Item No.",$E315,"Ending Date","''","Sales Code","EUR PRICE"))</t>
  </si>
  <si>
    <t>=NL("First","BOM Component","Quantity per","Parent Item No.",$B315,"no.",$E315)</t>
  </si>
  <si>
    <t>=NL("First","Item","Description","No.",$B316)</t>
  </si>
  <si>
    <t>=NL("Last","Sales Price","Unit Price","Item No.",$B316,"Ending Date","''","Sales Code","EUR PRICE")</t>
  </si>
  <si>
    <t>=IF($E316="","",NL("First","Item","Description","No.",$E316))</t>
  </si>
  <si>
    <t>=IF($E316="","",NL("Last","Sales Price","Unit Price","Item No.",$E316,"Ending Date","''","Sales Code","EUR PRICE"))</t>
  </si>
  <si>
    <t>=NL("First","BOM Component","Quantity per","Parent Item No.",$B316,"no.",$E316)</t>
  </si>
  <si>
    <t>=NL("First","Item","Description","No.",$B317)</t>
  </si>
  <si>
    <t>=NL("Last","Sales Price","Unit Price","Item No.",$B317,"Ending Date","''","Sales Code","EUR PRICE")</t>
  </si>
  <si>
    <t>=NL("First","Item","Description","No.",$B318)</t>
  </si>
  <si>
    <t>=NL("Last","Sales Price","Unit Price","Item No.",$B318,"Ending Date","''","Sales Code","EUR PRICE")</t>
  </si>
  <si>
    <t>=IF($E318="","",NL("First","Item","Description","No.",$E318))</t>
  </si>
  <si>
    <t>=IF($E318="","",NL("Last","Sales Price","Unit Price","Item No.",$E318,"Ending Date","''","Sales Code","EUR PRICE"))</t>
  </si>
  <si>
    <t>=NL("First","BOM Component","Quantity per","Parent Item No.",$B318,"no.",$E318)</t>
  </si>
  <si>
    <t>=NL("First","Item","Description","No.",$B319)</t>
  </si>
  <si>
    <t>=NL("Last","Sales Price","Unit Price","Item No.",$B319,"Ending Date","''","Sales Code","EUR PRICE")</t>
  </si>
  <si>
    <t>=IF($E319="","",NL("First","Item","Description","No.",$E319))</t>
  </si>
  <si>
    <t>=IF($E319="","",NL("Last","Sales Price","Unit Price","Item No.",$E319,"Ending Date","''","Sales Code","EUR PRICE"))</t>
  </si>
  <si>
    <t>=NL("First","BOM Component","Quantity per","Parent Item No.",$B319,"no.",$E319)</t>
  </si>
  <si>
    <t>=NL("First","Item","Description","No.",$B320)</t>
  </si>
  <si>
    <t>=NL("Last","Sales Price","Unit Price","Item No.",$B320,"Ending Date","''","Sales Code","EUR PRICE")</t>
  </si>
  <si>
    <t>=NL("First","Item","Description","No.",$B321)</t>
  </si>
  <si>
    <t>=NL("Last","Sales Price","Unit Price","Item No.",$B321,"Ending Date","''","Sales Code","EUR PRICE")</t>
  </si>
  <si>
    <t>=IF($E321="","",NL("First","Item","Description","No.",$E321))</t>
  </si>
  <si>
    <t>=IF($E321="","",NL("Last","Sales Price","Unit Price","Item No.",$E321,"Ending Date","''","Sales Code","EUR PRICE"))</t>
  </si>
  <si>
    <t>=NL("First","BOM Component","Quantity per","Parent Item No.",$B321,"no.",$E321)</t>
  </si>
  <si>
    <t>=NL("First","Item","Description","No.",$B322)</t>
  </si>
  <si>
    <t>=NL("Last","Sales Price","Unit Price","Item No.",$B322,"Ending Date","''","Sales Code","EUR PRICE")</t>
  </si>
  <si>
    <t>=IF($E322="","",NL("First","Item","Description","No.",$E322))</t>
  </si>
  <si>
    <t>=IF($E322="","",NL("Last","Sales Price","Unit Price","Item No.",$E322,"Ending Date","''","Sales Code","EUR PRICE"))</t>
  </si>
  <si>
    <t>=NL("First","BOM Component","Quantity per","Parent Item No.",$B322,"no.",$E322)</t>
  </si>
  <si>
    <t>=NL("First","Item","Description","No.",$B323)</t>
  </si>
  <si>
    <t>=NL("Last","Sales Price","Unit Price","Item No.",$B323,"Ending Date","''","Sales Code","EUR PRICE")</t>
  </si>
  <si>
    <t>=IF($E323="","",NL("First","Item","Description","No.",$E323))</t>
  </si>
  <si>
    <t>=IF($E323="","",NL("Last","Sales Price","Unit Price","Item No.",$E323,"Ending Date","''","Sales Code","EUR PRICE"))</t>
  </si>
  <si>
    <t>=NL("First","BOM Component","Quantity per","Parent Item No.",$B323,"no.",$E323)</t>
  </si>
  <si>
    <t>=NL("First","Item","Description","No.",$B324)</t>
  </si>
  <si>
    <t>=NL("Last","Sales Price","Unit Price","Item No.",$B324,"Ending Date","''","Sales Code","EUR PRICE")</t>
  </si>
  <si>
    <t>=NL("First","Item","Description","No.",$B325)</t>
  </si>
  <si>
    <t>=NL("Last","Sales Price","Unit Price","Item No.",$B325,"Ending Date","''","Sales Code","EUR PRICE")</t>
  </si>
  <si>
    <t>=IF($E325="","",NL("First","Item","Description","No.",$E325))</t>
  </si>
  <si>
    <t>=IF($E325="","",NL("Last","Sales Price","Unit Price","Item No.",$E325,"Ending Date","''","Sales Code","EUR PRICE"))</t>
  </si>
  <si>
    <t>=NL("First","BOM Component","Quantity per","Parent Item No.",$B325,"no.",$E325)</t>
  </si>
  <si>
    <t>=NL("First","Item","Description","No.",$B326)</t>
  </si>
  <si>
    <t>=NL("Last","Sales Price","Unit Price","Item No.",$B326,"Ending Date","''","Sales Code","EUR PRICE")</t>
  </si>
  <si>
    <t>=IF($E326="","",NL("First","Item","Description","No.",$E326))</t>
  </si>
  <si>
    <t>=IF($E326="","",NL("Last","Sales Price","Unit Price","Item No.",$E326,"Ending Date","''","Sales Code","EUR PRICE"))</t>
  </si>
  <si>
    <t>=NL("First","BOM Component","Quantity per","Parent Item No.",$B326,"no.",$E326)</t>
  </si>
  <si>
    <t>=NL("First","Item","Description","No.",$B327)</t>
  </si>
  <si>
    <t>=NL("Last","Sales Price","Unit Price","Item No.",$B327,"Ending Date","''","Sales Code","EUR PRICE")</t>
  </si>
  <si>
    <t>=IF($E327="","",NL("First","Item","Description","No.",$E327))</t>
  </si>
  <si>
    <t>=IF($E327="","",NL("Last","Sales Price","Unit Price","Item No.",$E327,"Ending Date","''","Sales Code","EUR PRICE"))</t>
  </si>
  <si>
    <t>=NL("First","BOM Component","Quantity per","Parent Item No.",$B327,"no.",$E327)</t>
  </si>
  <si>
    <t>=NL("First","Item","Description","No.",$B328)</t>
  </si>
  <si>
    <t>=NL("Last","Sales Price","Unit Price","Item No.",$B328,"Ending Date","''","Sales Code","EUR PRICE")</t>
  </si>
  <si>
    <t>=NL("First","Item","Description","No.",$B329)</t>
  </si>
  <si>
    <t>=NL("Last","Sales Price","Unit Price","Item No.",$B329,"Ending Date","''","Sales Code","EUR PRICE")</t>
  </si>
  <si>
    <t>=IF($E329="","",NL("First","Item","Description","No.",$E329))</t>
  </si>
  <si>
    <t>=IF($E329="","",NL("Last","Sales Price","Unit Price","Item No.",$E329,"Ending Date","''","Sales Code","EUR PRICE"))</t>
  </si>
  <si>
    <t>=NL("First","BOM Component","Quantity per","Parent Item No.",$B329,"no.",$E329)</t>
  </si>
  <si>
    <t>=NL("First","Item","Description","No.",$B330)</t>
  </si>
  <si>
    <t>=NL("Last","Sales Price","Unit Price","Item No.",$B330,"Ending Date","''","Sales Code","EUR PRICE")</t>
  </si>
  <si>
    <t>=IF($E330="","",NL("First","Item","Description","No.",$E330))</t>
  </si>
  <si>
    <t>=IF($E330="","",NL("Last","Sales Price","Unit Price","Item No.",$E330,"Ending Date","''","Sales Code","EUR PRICE"))</t>
  </si>
  <si>
    <t>=NL("First","BOM Component","Quantity per","Parent Item No.",$B330,"no.",$E330)</t>
  </si>
  <si>
    <t>=NL("First","Item","Description","No.",$B331)</t>
  </si>
  <si>
    <t>=NL("Last","Sales Price","Unit Price","Item No.",$B331,"Ending Date","''","Sales Code","EUR PRICE")</t>
  </si>
  <si>
    <t>=NL("First","Item","Description","No.",$B332)</t>
  </si>
  <si>
    <t>=NL("Last","Sales Price","Unit Price","Item No.",$B332,"Ending Date","''","Sales Code","EUR PRICE")</t>
  </si>
  <si>
    <t>=IF($E332="","",NL("First","Item","Description","No.",$E332))</t>
  </si>
  <si>
    <t>=IF($E332="","",NL("Last","Sales Price","Unit Price","Item No.",$E332,"Ending Date","''","Sales Code","EUR PRICE"))</t>
  </si>
  <si>
    <t>=NL("First","BOM Component","Quantity per","Parent Item No.",$B332,"no.",$E332)</t>
  </si>
  <si>
    <t>=NL("First","Item","Description","No.",$B333)</t>
  </si>
  <si>
    <t>=NL("Last","Sales Price","Unit Price","Item No.",$B333,"Ending Date","''","Sales Code","EUR PRICE")</t>
  </si>
  <si>
    <t>=IF($E333="","",NL("First","Item","Description","No.",$E333))</t>
  </si>
  <si>
    <t>=IF($E333="","",NL("Last","Sales Price","Unit Price","Item No.",$E333,"Ending Date","''","Sales Code","EUR PRICE"))</t>
  </si>
  <si>
    <t>=NL("First","BOM Component","Quantity per","Parent Item No.",$B333,"no.",$E333)</t>
  </si>
  <si>
    <t>=NL("First","Item","Description","No.",$B334)</t>
  </si>
  <si>
    <t>=NL("Last","Sales Price","Unit Price","Item No.",$B334,"Ending Date","''","Sales Code","EUR PRICE")</t>
  </si>
  <si>
    <t>=IF($E334="","",NL("First","Item","Description","No.",$E334))</t>
  </si>
  <si>
    <t>=IF($E334="","",NL("Last","Sales Price","Unit Price","Item No.",$E334,"Ending Date","''","Sales Code","EUR PRICE"))</t>
  </si>
  <si>
    <t>=NL("First","BOM Component","Quantity per","Parent Item No.",$B334,"no.",$E334)</t>
  </si>
  <si>
    <t>=NL("First","Item","Description","No.",$B335)</t>
  </si>
  <si>
    <t>=NL("Last","Sales Price","Unit Price","Item No.",$B335,"Ending Date","''","Sales Code","EUR PRICE")</t>
  </si>
  <si>
    <t>=NL("First","Item","Description","No.",$B336)</t>
  </si>
  <si>
    <t>=NL("Last","Sales Price","Unit Price","Item No.",$B336,"Ending Date","''","Sales Code","EUR PRICE")</t>
  </si>
  <si>
    <t>=IF($E336="","",NL("First","Item","Description","No.",$E336))</t>
  </si>
  <si>
    <t>=IF($E336="","",NL("Last","Sales Price","Unit Price","Item No.",$E336,"Ending Date","''","Sales Code","EUR PRICE"))</t>
  </si>
  <si>
    <t>=NL("First","BOM Component","Quantity per","Parent Item No.",$B336,"no.",$E336)</t>
  </si>
  <si>
    <t>=NL("First","Item","Description","No.",$B337)</t>
  </si>
  <si>
    <t>=NL("Last","Sales Price","Unit Price","Item No.",$B337,"Ending Date","''","Sales Code","EUR PRICE")</t>
  </si>
  <si>
    <t>=IF($E337="","",NL("First","Item","Description","No.",$E337))</t>
  </si>
  <si>
    <t>=IF($E337="","",NL("Last","Sales Price","Unit Price","Item No.",$E337,"Ending Date","''","Sales Code","EUR PRICE"))</t>
  </si>
  <si>
    <t>=NL("First","BOM Component","Quantity per","Parent Item No.",$B337,"no.",$E337)</t>
  </si>
  <si>
    <t>=NL("First","Item","Description","No.",$B338)</t>
  </si>
  <si>
    <t>=NL("Last","Sales Price","Unit Price","Item No.",$B338,"Ending Date","''","Sales Code","EUR PRICE")</t>
  </si>
  <si>
    <t>=IF($E338="","",NL("First","Item","Description","No.",$E338))</t>
  </si>
  <si>
    <t>=IF($E338="","",NL("Last","Sales Price","Unit Price","Item No.",$E338,"Ending Date","''","Sales Code","EUR PRICE"))</t>
  </si>
  <si>
    <t>=NL("First","BOM Component","Quantity per","Parent Item No.",$B338,"no.",$E338)</t>
  </si>
  <si>
    <t>=NL("First","Item","Description","No.",$B339)</t>
  </si>
  <si>
    <t>=NL("Last","Sales Price","Unit Price","Item No.",$B339,"Ending Date","''","Sales Code","EUR PRICE")</t>
  </si>
  <si>
    <t>=NL("First","Item","Description","No.",$B340)</t>
  </si>
  <si>
    <t>=NL("Last","Sales Price","Unit Price","Item No.",$B340,"Ending Date","''","Sales Code","EUR PRICE")</t>
  </si>
  <si>
    <t>=IF($E340="","",NL("First","Item","Description","No.",$E340))</t>
  </si>
  <si>
    <t>=IF($E340="","",NL("Last","Sales Price","Unit Price","Item No.",$E340,"Ending Date","''","Sales Code","EUR PRICE"))</t>
  </si>
  <si>
    <t>=NL("First","Item","Description","No.",$B341)</t>
  </si>
  <si>
    <t>=NL("Last","Sales Price","Unit Price","Item No.",$B341,"Ending Date","''","Sales Code","EUR PRICE")</t>
  </si>
  <si>
    <t>=IF($E341="","",NL("First","Item","Description","No.",$E341))</t>
  </si>
  <si>
    <t>=IF($E341="","",NL("Last","Sales Price","Unit Price","Item No.",$E341,"Ending Date","''","Sales Code","EUR PRICE"))</t>
  </si>
  <si>
    <t>=NL("First","BOM Component","Quantity per","Parent Item No.",$B341,"no.",$E341)</t>
  </si>
  <si>
    <t>=NL("First","Item","Description","No.",$B342)</t>
  </si>
  <si>
    <t>=NL("Last","Sales Price","Unit Price","Item No.",$B342,"Ending Date","''","Sales Code","EUR PRICE")</t>
  </si>
  <si>
    <t>=NL("First","Item","Description","No.",$B343)</t>
  </si>
  <si>
    <t>=NL("Last","Sales Price","Unit Price","Item No.",$B343,"Ending Date","''","Sales Code","EUR PRICE")</t>
  </si>
  <si>
    <t>=IF($E343="","",NL("First","Item","Description","No.",$E343))</t>
  </si>
  <si>
    <t>=IF($E343="","",NL("Last","Sales Price","Unit Price","Item No.",$E343,"Ending Date","''","Sales Code","EUR PRICE"))</t>
  </si>
  <si>
    <t>=NL("First","BOM Component","Quantity per","Parent Item No.",$B343,"no.",$E343)</t>
  </si>
  <si>
    <t>=NL("First","Item","Description","No.",$B344)</t>
  </si>
  <si>
    <t>=NL("Last","Sales Price","Unit Price","Item No.",$B344,"Ending Date","''","Sales Code","EUR PRICE")</t>
  </si>
  <si>
    <t>=IF($E344="","",NL("First","Item","Description","No.",$E344))</t>
  </si>
  <si>
    <t>=IF($E344="","",NL("Last","Sales Price","Unit Price","Item No.",$E344,"Ending Date","''","Sales Code","EUR PRICE"))</t>
  </si>
  <si>
    <t>=NL("First","BOM Component","Quantity per","Parent Item No.",$B344,"no.",$E344)</t>
  </si>
  <si>
    <t>=NL("First","Item","Description","No.",$B345)</t>
  </si>
  <si>
    <t>=NL("Last","Sales Price","Unit Price","Item No.",$B345,"Ending Date","''","Sales Code","EUR PRICE")</t>
  </si>
  <si>
    <t>=IF($E345="","",NL("First","Item","Description","No.",$E345))</t>
  </si>
  <si>
    <t>=IF($E345="","",NL("Last","Sales Price","Unit Price","Item No.",$E345,"Ending Date","''","Sales Code","EUR PRICE"))</t>
  </si>
  <si>
    <t>=NL("First","BOM Component","Quantity per","Parent Item No.",$B345,"no.",$E345)</t>
  </si>
  <si>
    <t>=NL("First","Item","Description","No.",$B346)</t>
  </si>
  <si>
    <t>=NL("Last","Sales Price","Unit Price","Item No.",$B346,"Ending Date","''","Sales Code","EUR PRICE")</t>
  </si>
  <si>
    <t>=NL("First","Item","Description","No.",$B347)</t>
  </si>
  <si>
    <t>=NL("Last","Sales Price","Unit Price","Item No.",$B347,"Ending Date","''","Sales Code","EUR PRICE")</t>
  </si>
  <si>
    <t>=IF($E347="","",NL("First","Item","Description","No.",$E347))</t>
  </si>
  <si>
    <t>=IF($E347="","",NL("Last","Sales Price","Unit Price","Item No.",$E347,"Ending Date","''","Sales Code","EUR PRICE"))</t>
  </si>
  <si>
    <t>=NL("First","BOM Component","Quantity per","Parent Item No.",$B347,"no.",$E347)</t>
  </si>
  <si>
    <t>=NL("First","Item","Description","No.",$B348)</t>
  </si>
  <si>
    <t>=NL("Last","Sales Price","Unit Price","Item No.",$B348,"Ending Date","''","Sales Code","EUR PRICE")</t>
  </si>
  <si>
    <t>=IF($E348="","",NL("First","Item","Description","No.",$E348))</t>
  </si>
  <si>
    <t>=IF($E348="","",NL("Last","Sales Price","Unit Price","Item No.",$E348,"Ending Date","''","Sales Code","EUR PRICE"))</t>
  </si>
  <si>
    <t>=NL("First","BOM Component","Quantity per","Parent Item No.",$B348,"no.",$E348)</t>
  </si>
  <si>
    <t>=NL("First","Item","Description","No.",$B349)</t>
  </si>
  <si>
    <t>=NL("Last","Sales Price","Unit Price","Item No.",$B349,"Ending Date","''","Sales Code","EUR PRICE")</t>
  </si>
  <si>
    <t>=IF($E349="","",NL("First","Item","Description","No.",$E349))</t>
  </si>
  <si>
    <t>=IF($E349="","",NL("Last","Sales Price","Unit Price","Item No.",$E349,"Ending Date","''","Sales Code","EUR PRICE"))</t>
  </si>
  <si>
    <t>=NL("First","BOM Component","Quantity per","Parent Item No.",$B349,"no.",$E349)</t>
  </si>
  <si>
    <t>=NL("First","Item","Description","No.",$B350)</t>
  </si>
  <si>
    <t>=NL("Last","Sales Price","Unit Price","Item No.",$B350,"Ending Date","''","Sales Code","EUR PRICE")</t>
  </si>
  <si>
    <t>=IF($E350="","",NL("First","Item","Description","No.",$E350))</t>
  </si>
  <si>
    <t>=IF($E350="","",NL("Last","Sales Price","Unit Price","Item No.",$E350,"Ending Date","''","Sales Code","EUR PRICE"))</t>
  </si>
  <si>
    <t>=NL("First","BOM Component","Quantity per","Parent Item No.",$B350,"no.",$E350)</t>
  </si>
  <si>
    <t>=NL("First","Item","Description","No.",$B351)</t>
  </si>
  <si>
    <t>=NL("Last","Sales Price","Unit Price","Item No.",$B351,"Ending Date","''","Sales Code","EUR PRICE")</t>
  </si>
  <si>
    <t>=NL("First","Item","Description","No.",$B352)</t>
  </si>
  <si>
    <t>=NL("Last","Sales Price","Unit Price","Item No.",$B352,"Ending Date","''","Sales Code","EUR PRICE")</t>
  </si>
  <si>
    <t>=IF($E352="","",NL("First","Item","Description","No.",$E352))</t>
  </si>
  <si>
    <t>=IF($E352="","",NL("Last","Sales Price","Unit Price","Item No.",$E352,"Ending Date","''","Sales Code","EUR PRICE"))</t>
  </si>
  <si>
    <t>=NL("First","BOM Component","Quantity per","Parent Item No.",$B352,"no.",$E352)</t>
  </si>
  <si>
    <t>=NL("First","Item","Description","No.",$B353)</t>
  </si>
  <si>
    <t>=NL("Last","Sales Price","Unit Price","Item No.",$B353,"Ending Date","''","Sales Code","EUR PRICE")</t>
  </si>
  <si>
    <t>=IF($E353="","",NL("First","Item","Description","No.",$E353))</t>
  </si>
  <si>
    <t>=IF($E353="","",NL("Last","Sales Price","Unit Price","Item No.",$E353,"Ending Date","''","Sales Code","EUR PRICE"))</t>
  </si>
  <si>
    <t>=NL("First","BOM Component","Quantity per","Parent Item No.",$B353,"no.",$E353)</t>
  </si>
  <si>
    <t>=NL("First","Item","Description","No.",$B354)</t>
  </si>
  <si>
    <t>=NL("Last","Sales Price","Unit Price","Item No.",$B354,"Ending Date","''","Sales Code","EUR PRICE")</t>
  </si>
  <si>
    <t>=IF($E354="","",NL("First","Item","Description","No.",$E354))</t>
  </si>
  <si>
    <t>=IF($E354="","",NL("Last","Sales Price","Unit Price","Item No.",$E354,"Ending Date","''","Sales Code","EUR PRICE"))</t>
  </si>
  <si>
    <t>=NL("First","BOM Component","Quantity per","Parent Item No.",$B354,"no.",$E354)</t>
  </si>
  <si>
    <t>=NL("First","Item","Description","No.",$B355)</t>
  </si>
  <si>
    <t>=NL("Last","Sales Price","Unit Price","Item No.",$B355,"Ending Date","''","Sales Code","EUR PRICE")</t>
  </si>
  <si>
    <t>=NL("First","Item","Description","No.",$B356)</t>
  </si>
  <si>
    <t>=NL("Last","Sales Price","Unit Price","Item No.",$B356,"Ending Date","''","Sales Code","EUR PRICE")</t>
  </si>
  <si>
    <t>=IF($E356="","",NL("First","Item","Description","No.",$E356))</t>
  </si>
  <si>
    <t>=IF($E356="","",NL("Last","Sales Price","Unit Price","Item No.",$E356,"Ending Date","''","Sales Code","EUR PRICE"))</t>
  </si>
  <si>
    <t>=NL("First","BOM Component","Quantity per","Parent Item No.",$B356,"no.",$E356)</t>
  </si>
  <si>
    <t>=NL("First","Item","Description","No.",$B357)</t>
  </si>
  <si>
    <t>=NL("Last","Sales Price","Unit Price","Item No.",$B357,"Ending Date","''","Sales Code","EUR PRICE")</t>
  </si>
  <si>
    <t>=IF($E357="","",NL("First","Item","Description","No.",$E357))</t>
  </si>
  <si>
    <t>=IF($E357="","",NL("Last","Sales Price","Unit Price","Item No.",$E357,"Ending Date","''","Sales Code","EUR PRICE"))</t>
  </si>
  <si>
    <t>=NL("First","BOM Component","Quantity per","Parent Item No.",$B357,"no.",$E357)</t>
  </si>
  <si>
    <t>=NL("First","Item","Description","No.",$B358)</t>
  </si>
  <si>
    <t>=NL("Last","Sales Price","Unit Price","Item No.",$B358,"Ending Date","''","Sales Code","EUR PRICE")</t>
  </si>
  <si>
    <t>=IF($E358="","",NL("First","Item","Description","No.",$E358))</t>
  </si>
  <si>
    <t>=IF($E358="","",NL("Last","Sales Price","Unit Price","Item No.",$E358,"Ending Date","''","Sales Code","EUR PRICE"))</t>
  </si>
  <si>
    <t>=NL("First","BOM Component","Quantity per","Parent Item No.",$B358,"no.",$E358)</t>
  </si>
  <si>
    <t>=NL("First","Item","Description","No.",$B359)</t>
  </si>
  <si>
    <t>=NL("Last","Sales Price","Unit Price","Item No.",$B359,"Ending Date","''","Sales Code","EUR PRICE")</t>
  </si>
  <si>
    <t>=NL("First","Item","Description","No.",$B360)</t>
  </si>
  <si>
    <t>=NL("Last","Sales Price","Unit Price","Item No.",$B360,"Ending Date","''","Sales Code","EUR PRICE")</t>
  </si>
  <si>
    <t>=IF($E360="","",NL("First","Item","Description","No.",$E360))</t>
  </si>
  <si>
    <t>=IF($E360="","",NL("Last","Sales Price","Unit Price","Item No.",$E360,"Ending Date","''","Sales Code","EUR PRICE"))</t>
  </si>
  <si>
    <t>=NL("First","BOM Component","Quantity per","Parent Item No.",$B360,"no.",$E360)</t>
  </si>
  <si>
    <t>=NL("First","Item","Description","No.",$B361)</t>
  </si>
  <si>
    <t>=NL("Last","Sales Price","Unit Price","Item No.",$B361,"Ending Date","''","Sales Code","EUR PRICE")</t>
  </si>
  <si>
    <t>=IF($E361="","",NL("First","Item","Description","No.",$E361))</t>
  </si>
  <si>
    <t>=IF($E361="","",NL("Last","Sales Price","Unit Price","Item No.",$E361,"Ending Date","''","Sales Code","EUR PRICE"))</t>
  </si>
  <si>
    <t>=NL("First","BOM Component","Quantity per","Parent Item No.",$B361,"no.",$E361)</t>
  </si>
  <si>
    <t>=NL("First","Item","Description","No.",$B362)</t>
  </si>
  <si>
    <t>=NL("Last","Sales Price","Unit Price","Item No.",$B362,"Ending Date","''","Sales Code","EUR PRICE")</t>
  </si>
  <si>
    <t>=IF($E362="","",NL("First","Item","Description","No.",$E362))</t>
  </si>
  <si>
    <t>=IF($E362="","",NL("Last","Sales Price","Unit Price","Item No.",$E362,"Ending Date","''","Sales Code","EUR PRICE"))</t>
  </si>
  <si>
    <t>=NL("First","BOM Component","Quantity per","Parent Item No.",$B362,"no.",$E362)</t>
  </si>
  <si>
    <t>=NL("First","Item","Description","No.",$B363)</t>
  </si>
  <si>
    <t>=NL("Last","Sales Price","Unit Price","Item No.",$B363,"Ending Date","''","Sales Code","EUR PRICE")</t>
  </si>
  <si>
    <t>=NL("First","Item","Description","No.",$B364)</t>
  </si>
  <si>
    <t>=NL("Last","Sales Price","Unit Price","Item No.",$B364,"Ending Date","''","Sales Code","EUR PRICE")</t>
  </si>
  <si>
    <t>=IF($E364="","",NL("First","Item","Description","No.",$E364))</t>
  </si>
  <si>
    <t>=IF($E364="","",NL("Last","Sales Price","Unit Price","Item No.",$E364,"Ending Date","''","Sales Code","EUR PRICE"))</t>
  </si>
  <si>
    <t>=NL("First","BOM Component","Quantity per","Parent Item No.",$B364,"no.",$E364)</t>
  </si>
  <si>
    <t>=NL("First","Item","Description","No.",$B365)</t>
  </si>
  <si>
    <t>=NL("Last","Sales Price","Unit Price","Item No.",$B365,"Ending Date","''","Sales Code","EUR PRICE")</t>
  </si>
  <si>
    <t>=IF($E365="","",NL("First","Item","Description","No.",$E365))</t>
  </si>
  <si>
    <t>=IF($E365="","",NL("Last","Sales Price","Unit Price","Item No.",$E365,"Ending Date","''","Sales Code","EUR PRICE"))</t>
  </si>
  <si>
    <t>=NL("First","BOM Component","Quantity per","Parent Item No.",$B365,"no.",$E365)</t>
  </si>
  <si>
    <t>=NL("First","Item","Description","No.",$B366)</t>
  </si>
  <si>
    <t>=NL("Last","Sales Price","Unit Price","Item No.",$B366,"Ending Date","''","Sales Code","EUR PRICE")</t>
  </si>
  <si>
    <t>=IF($E366="","",NL("First","Item","Description","No.",$E366))</t>
  </si>
  <si>
    <t>=IF($E366="","",NL("Last","Sales Price","Unit Price","Item No.",$E366,"Ending Date","''","Sales Code","EUR PRICE"))</t>
  </si>
  <si>
    <t>=NL("First","BOM Component","Quantity per","Parent Item No.",$B366,"no.",$E366)</t>
  </si>
  <si>
    <t>=NL("First","Item","Description","No.",$B367)</t>
  </si>
  <si>
    <t>=NL("Last","Sales Price","Unit Price","Item No.",$B367,"Ending Date","''","Sales Code","EUR PRICE")</t>
  </si>
  <si>
    <t>=NL("First","Item","Description","No.",$B368)</t>
  </si>
  <si>
    <t>=NL("Last","Sales Price","Unit Price","Item No.",$B368,"Ending Date","''","Sales Code","EUR PRICE")</t>
  </si>
  <si>
    <t>=IF($E368="","",NL("First","Item","Description","No.",$E368))</t>
  </si>
  <si>
    <t>=IF($E368="","",NL("Last","Sales Price","Unit Price","Item No.",$E368,"Ending Date","''","Sales Code","EUR PRICE"))</t>
  </si>
  <si>
    <t>=NL("First","BOM Component","Quantity per","Parent Item No.",$B368,"no.",$E368)</t>
  </si>
  <si>
    <t>=NL("First","Item","Description","No.",$B369)</t>
  </si>
  <si>
    <t>=NL("Last","Sales Price","Unit Price","Item No.",$B369,"Ending Date","''","Sales Code","EUR PRICE")</t>
  </si>
  <si>
    <t>=IF($E369="","",NL("First","Item","Description","No.",$E369))</t>
  </si>
  <si>
    <t>=IF($E369="","",NL("Last","Sales Price","Unit Price","Item No.",$E369,"Ending Date","''","Sales Code","EUR PRICE"))</t>
  </si>
  <si>
    <t>=NL("First","BOM Component","Quantity per","Parent Item No.",$B369,"no.",$E369)</t>
  </si>
  <si>
    <t>=NL("First","Item","Description","No.",$B370)</t>
  </si>
  <si>
    <t>=NL("Last","Sales Price","Unit Price","Item No.",$B370,"Ending Date","''","Sales Code","EUR PRICE")</t>
  </si>
  <si>
    <t>=IF($E370="","",NL("First","Item","Description","No.",$E370))</t>
  </si>
  <si>
    <t>=IF($E370="","",NL("Last","Sales Price","Unit Price","Item No.",$E370,"Ending Date","''","Sales Code","EUR PRICE"))</t>
  </si>
  <si>
    <t>=NL("First","BOM Component","Quantity per","Parent Item No.",$B370,"no.",$E370)</t>
  </si>
  <si>
    <t>=NL("First","Item","Description","No.",$B371)</t>
  </si>
  <si>
    <t>=NL("Last","Sales Price","Unit Price","Item No.",$B371,"Ending Date","''","Sales Code","EUR PRICE")</t>
  </si>
  <si>
    <t>=NL("First","Item","Description","No.",$B372)</t>
  </si>
  <si>
    <t>=NL("Last","Sales Price","Unit Price","Item No.",$B372,"Ending Date","''","Sales Code","EUR PRICE")</t>
  </si>
  <si>
    <t>=IF($E372="","",NL("First","Item","Description","No.",$E372))</t>
  </si>
  <si>
    <t>=IF($E372="","",NL("Last","Sales Price","Unit Price","Item No.",$E372,"Ending Date","''","Sales Code","EUR PRICE"))</t>
  </si>
  <si>
    <t>=NL("First","BOM Component","Quantity per","Parent Item No.",$B372,"no.",$E372)</t>
  </si>
  <si>
    <t>=NL("First","Item","Description","No.",$B373)</t>
  </si>
  <si>
    <t>=NL("Last","Sales Price","Unit Price","Item No.",$B373,"Ending Date","''","Sales Code","EUR PRICE")</t>
  </si>
  <si>
    <t>=IF($E373="","",NL("First","Item","Description","No.",$E373))</t>
  </si>
  <si>
    <t>=IF($E373="","",NL("Last","Sales Price","Unit Price","Item No.",$E373,"Ending Date","''","Sales Code","EUR PRICE"))</t>
  </si>
  <si>
    <t>=NL("First","BOM Component","Quantity per","Parent Item No.",$B373,"no.",$E373)</t>
  </si>
  <si>
    <t>=NL("First","Item","Description","No.",$B374)</t>
  </si>
  <si>
    <t>=NL("Last","Sales Price","Unit Price","Item No.",$B374,"Ending Date","''","Sales Code","EUR PRICE")</t>
  </si>
  <si>
    <t>=IF($E374="","",NL("First","Item","Description","No.",$E374))</t>
  </si>
  <si>
    <t>=IF($E374="","",NL("Last","Sales Price","Unit Price","Item No.",$E374,"Ending Date","''","Sales Code","EUR PRICE"))</t>
  </si>
  <si>
    <t>=NL("First","BOM Component","Quantity per","Parent Item No.",$B374,"no.",$E374)</t>
  </si>
  <si>
    <t>=NL("First","Item","Description","No.",$B375)</t>
  </si>
  <si>
    <t>=NL("Last","Sales Price","Unit Price","Item No.",$B375,"Ending Date","''","Sales Code","EUR PRICE")</t>
  </si>
  <si>
    <t>=IF($E375="","",NL("First","Item","Description","No.",$E375))</t>
  </si>
  <si>
    <t>=IF($E375="","",NL("Last","Sales Price","Unit Price","Item No.",$E375,"Ending Date","''","Sales Code","EUR PRICE"))</t>
  </si>
  <si>
    <t>=NL("First","BOM Component","Quantity per","Parent Item No.",$B375,"no.",$E375)</t>
  </si>
  <si>
    <t>=NL("First","Item","Description","No.",$B376)</t>
  </si>
  <si>
    <t>=NL("Last","Sales Price","Unit Price","Item No.",$B376,"Ending Date","''","Sales Code","EUR PRICE")</t>
  </si>
  <si>
    <t>=NL("First","Item","Description","No.",$B377)</t>
  </si>
  <si>
    <t>=NL("Last","Sales Price","Unit Price","Item No.",$B377,"Ending Date","''","Sales Code","EUR PRICE")</t>
  </si>
  <si>
    <t>=IF($E377="","",NL("First","Item","Description","No.",$E377))</t>
  </si>
  <si>
    <t>=IF($E377="","",NL("Last","Sales Price","Unit Price","Item No.",$E377,"Ending Date","''","Sales Code","EUR PRICE"))</t>
  </si>
  <si>
    <t>=NL("First","BOM Component","Quantity per","Parent Item No.",$B377,"no.",$E377)</t>
  </si>
  <si>
    <t>=NL("First","Item","Description","No.",$B378)</t>
  </si>
  <si>
    <t>=NL("Last","Sales Price","Unit Price","Item No.",$B378,"Ending Date","''","Sales Code","EUR PRICE")</t>
  </si>
  <si>
    <t>=IF($E378="","",NL("First","Item","Description","No.",$E378))</t>
  </si>
  <si>
    <t>=IF($E378="","",NL("Last","Sales Price","Unit Price","Item No.",$E378,"Ending Date","''","Sales Code","EUR PRICE"))</t>
  </si>
  <si>
    <t>=NL("First","BOM Component","Quantity per","Parent Item No.",$B378,"no.",$E378)</t>
  </si>
  <si>
    <t>=NL("First","Item","Description","No.",$B379)</t>
  </si>
  <si>
    <t>=NL("Last","Sales Price","Unit Price","Item No.",$B379,"Ending Date","''","Sales Code","EUR PRICE")</t>
  </si>
  <si>
    <t>=IF($E379="","",NL("First","Item","Description","No.",$E379))</t>
  </si>
  <si>
    <t>=IF($E379="","",NL("Last","Sales Price","Unit Price","Item No.",$E379,"Ending Date","''","Sales Code","EUR PRICE"))</t>
  </si>
  <si>
    <t>=NL("First","BOM Component","Quantity per","Parent Item No.",$B379,"no.",$E379)</t>
  </si>
  <si>
    <t>=NL("First","Item","Description","No.",$B380)</t>
  </si>
  <si>
    <t>=NL("Last","Sales Price","Unit Price","Item No.",$B380,"Ending Date","''","Sales Code","EUR PRICE")</t>
  </si>
  <si>
    <t>=IF($E380="","",NL("First","Item","Description","No.",$E380))</t>
  </si>
  <si>
    <t>=IF($E380="","",NL("Last","Sales Price","Unit Price","Item No.",$E380,"Ending Date","''","Sales Code","EUR PRICE"))</t>
  </si>
  <si>
    <t>=NL("First","BOM Component","Quantity per","Parent Item No.",$B380,"no.",$E380)</t>
  </si>
  <si>
    <t>=NL("First","Item","Description","No.",$B381)</t>
  </si>
  <si>
    <t>=NL("Last","Sales Price","Unit Price","Item No.",$B381,"Ending Date","''","Sales Code","EUR PRICE")</t>
  </si>
  <si>
    <t>=NL("First","Item","Description","No.",$B382)</t>
  </si>
  <si>
    <t>=NL("Last","Sales Price","Unit Price","Item No.",$B382,"Ending Date","''","Sales Code","EUR PRICE")</t>
  </si>
  <si>
    <t>=IF($E382="","",NL("First","Item","Description","No.",$E382))</t>
  </si>
  <si>
    <t>=IF($E382="","",NL("Last","Sales Price","Unit Price","Item No.",$E382,"Ending Date","''","Sales Code","EUR PRICE"))</t>
  </si>
  <si>
    <t>=NL("First","BOM Component","Quantity per","Parent Item No.",$B382,"no.",$E382)</t>
  </si>
  <si>
    <t>=NL("First","Item","Description","No.",$B383)</t>
  </si>
  <si>
    <t>=NL("Last","Sales Price","Unit Price","Item No.",$B383,"Ending Date","''","Sales Code","EUR PRICE")</t>
  </si>
  <si>
    <t>=IF($E383="","",NL("First","Item","Description","No.",$E383))</t>
  </si>
  <si>
    <t>=IF($E383="","",NL("Last","Sales Price","Unit Price","Item No.",$E383,"Ending Date","''","Sales Code","EUR PRICE"))</t>
  </si>
  <si>
    <t>=NL("First","BOM Component","Quantity per","Parent Item No.",$B383,"no.",$E383)</t>
  </si>
  <si>
    <t>=NL("First","Item","Description","No.",$B384)</t>
  </si>
  <si>
    <t>=NL("Last","Sales Price","Unit Price","Item No.",$B384,"Ending Date","''","Sales Code","EUR PRICE")</t>
  </si>
  <si>
    <t>=NL("First","Item","Description","No.",$B385)</t>
  </si>
  <si>
    <t>=NL("Last","Sales Price","Unit Price","Item No.",$B385,"Ending Date","''","Sales Code","EUR PRICE")</t>
  </si>
  <si>
    <t>=IF($E385="","",NL("First","Item","Description","No.",$E385))</t>
  </si>
  <si>
    <t>=IF($E385="","",NL("Last","Sales Price","Unit Price","Item No.",$E385,"Ending Date","''","Sales Code","EUR PRICE"))</t>
  </si>
  <si>
    <t>=NL("First","BOM Component","Quantity per","Parent Item No.",$B385,"no.",$E385)</t>
  </si>
  <si>
    <t>=NL("First","Item","Description","No.",$B386)</t>
  </si>
  <si>
    <t>=NL("Last","Sales Price","Unit Price","Item No.",$B386,"Ending Date","''","Sales Code","EUR PRICE")</t>
  </si>
  <si>
    <t>=IF($E386="","",NL("First","Item","Description","No.",$E386))</t>
  </si>
  <si>
    <t>=IF($E386="","",NL("Last","Sales Price","Unit Price","Item No.",$E386,"Ending Date","''","Sales Code","EUR PRICE"))</t>
  </si>
  <si>
    <t>=NL("First","BOM Component","Quantity per","Parent Item No.",$B386,"no.",$E386)</t>
  </si>
  <si>
    <t>=NL("First","Item","Description","No.",$B387)</t>
  </si>
  <si>
    <t>=NL("Last","Sales Price","Unit Price","Item No.",$B387,"Ending Date","''","Sales Code","EUR PRICE")</t>
  </si>
  <si>
    <t>=NL("First","Item","Description","No.",$B388)</t>
  </si>
  <si>
    <t>=NL("Last","Sales Price","Unit Price","Item No.",$B388,"Ending Date","''","Sales Code","EUR PRICE")</t>
  </si>
  <si>
    <t>=IF($E388="","",NL("First","Item","Description","No.",$E388))</t>
  </si>
  <si>
    <t>=IF($E388="","",NL("Last","Sales Price","Unit Price","Item No.",$E388,"Ending Date","''","Sales Code","EUR PRICE"))</t>
  </si>
  <si>
    <t>=NL("First","BOM Component","Quantity per","Parent Item No.",$B388,"no.",$E388)</t>
  </si>
  <si>
    <t>=NL("First","Item","Description","No.",$B389)</t>
  </si>
  <si>
    <t>=NL("Last","Sales Price","Unit Price","Item No.",$B389,"Ending Date","''","Sales Code","EUR PRICE")</t>
  </si>
  <si>
    <t>=IF($E389="","",NL("First","Item","Description","No.",$E389))</t>
  </si>
  <si>
    <t>=IF($E389="","",NL("Last","Sales Price","Unit Price","Item No.",$E389,"Ending Date","''","Sales Code","EUR PRICE"))</t>
  </si>
  <si>
    <t>=NL("First","BOM Component","Quantity per","Parent Item No.",$B389,"no.",$E389)</t>
  </si>
  <si>
    <t>=NL("First","Item","Description","No.",$B390)</t>
  </si>
  <si>
    <t>=NL("Last","Sales Price","Unit Price","Item No.",$B390,"Ending Date","''","Sales Code","EUR PRICE")</t>
  </si>
  <si>
    <t>=NL("First","Item","Description","No.",$B391)</t>
  </si>
  <si>
    <t>=NL("Last","Sales Price","Unit Price","Item No.",$B391,"Ending Date","''","Sales Code","EUR PRICE")</t>
  </si>
  <si>
    <t>=IF($E391="","",NL("First","Item","Description","No.",$E391))</t>
  </si>
  <si>
    <t>=IF($E391="","",NL("Last","Sales Price","Unit Price","Item No.",$E391,"Ending Date","''","Sales Code","EUR PRICE"))</t>
  </si>
  <si>
    <t>=NL("First","BOM Component","Quantity per","Parent Item No.",$B391,"no.",$E391)</t>
  </si>
  <si>
    <t>=NL("First","Item","Description","No.",$B392)</t>
  </si>
  <si>
    <t>=NL("Last","Sales Price","Unit Price","Item No.",$B392,"Ending Date","''","Sales Code","EUR PRICE")</t>
  </si>
  <si>
    <t>=IF($E392="","",NL("First","Item","Description","No.",$E392))</t>
  </si>
  <si>
    <t>=IF($E392="","",NL("Last","Sales Price","Unit Price","Item No.",$E392,"Ending Date","''","Sales Code","EUR PRICE"))</t>
  </si>
  <si>
    <t>=NL("First","BOM Component","Quantity per","Parent Item No.",$B392,"no.",$E392)</t>
  </si>
  <si>
    <t>=NL("First","Item","Description","No.",$B393)</t>
  </si>
  <si>
    <t>=NL("Last","Sales Price","Unit Price","Item No.",$B393,"Ending Date","''","Sales Code","EUR PRICE")</t>
  </si>
  <si>
    <t>=IF($E393="","",NL("First","Item","Description","No.",$E393))</t>
  </si>
  <si>
    <t>=IF($E393="","",NL("Last","Sales Price","Unit Price","Item No.",$E393,"Ending Date","''","Sales Code","EUR PRICE"))</t>
  </si>
  <si>
    <t>=NL("First","Item","Description","No.",$B394)</t>
  </si>
  <si>
    <t>=NL("Last","Sales Price","Unit Price","Item No.",$B394,"Ending Date","''","Sales Code","EUR PRICE")</t>
  </si>
  <si>
    <t>=IF($E394="","",NL("First","Item","Description","No.",$E394))</t>
  </si>
  <si>
    <t>=IF($E394="","",NL("Last","Sales Price","Unit Price","Item No.",$E394,"Ending Date","''","Sales Code","EUR PRICE"))</t>
  </si>
  <si>
    <t>=NL("First","BOM Component","Quantity per","Parent Item No.",$B394,"no.",$E394)</t>
  </si>
  <si>
    <t>=NL("First","Item","Description","No.",$B395)</t>
  </si>
  <si>
    <t>=NL("Last","Sales Price","Unit Price","Item No.",$B395,"Ending Date","''","Sales Code","EUR PRICE")</t>
  </si>
  <si>
    <t>=NL("First","Item","Description","No.",$B396)</t>
  </si>
  <si>
    <t>=NL("Last","Sales Price","Unit Price","Item No.",$B396,"Ending Date","''","Sales Code","EUR PRICE")</t>
  </si>
  <si>
    <t>=IF($E396="","",NL("First","Item","Description","No.",$E396))</t>
  </si>
  <si>
    <t>=IF($E396="","",NL("Last","Sales Price","Unit Price","Item No.",$E396,"Ending Date","''","Sales Code","EUR PRICE"))</t>
  </si>
  <si>
    <t>=NL("First","BOM Component","Quantity per","Parent Item No.",$B396,"no.",$E396)</t>
  </si>
  <si>
    <t>=NL("First","Item","Description","No.",$B397)</t>
  </si>
  <si>
    <t>=NL("Last","Sales Price","Unit Price","Item No.",$B397,"Ending Date","''","Sales Code","EUR PRICE")</t>
  </si>
  <si>
    <t>=IF($E397="","",NL("First","Item","Description","No.",$E397))</t>
  </si>
  <si>
    <t>=IF($E397="","",NL("Last","Sales Price","Unit Price","Item No.",$E397,"Ending Date","''","Sales Code","EUR PRICE"))</t>
  </si>
  <si>
    <t>=NL("First","BOM Component","Quantity per","Parent Item No.",$B397,"no.",$E397)</t>
  </si>
  <si>
    <t>=NL("First","Item","Description","No.",$B398)</t>
  </si>
  <si>
    <t>=NL("Last","Sales Price","Unit Price","Item No.",$B398,"Ending Date","''","Sales Code","EUR PRICE")</t>
  </si>
  <si>
    <t>=NL("First","Item","Description","No.",$B399)</t>
  </si>
  <si>
    <t>=NL("Last","Sales Price","Unit Price","Item No.",$B399,"Ending Date","''","Sales Code","EUR PRICE")</t>
  </si>
  <si>
    <t>=IF($E399="","",NL("First","Item","Description","No.",$E399))</t>
  </si>
  <si>
    <t>=IF($E399="","",NL("Last","Sales Price","Unit Price","Item No.",$E399,"Ending Date","''","Sales Code","EUR PRICE"))</t>
  </si>
  <si>
    <t>=NL("First","BOM Component","Quantity per","Parent Item No.",$B399,"no.",$E399)</t>
  </si>
  <si>
    <t>=NL("First","Item","Description","No.",$B400)</t>
  </si>
  <si>
    <t>=NL("Last","Sales Price","Unit Price","Item No.",$B400,"Ending Date","''","Sales Code","EUR PRICE")</t>
  </si>
  <si>
    <t>=IF($E400="","",NL("First","Item","Description","No.",$E400))</t>
  </si>
  <si>
    <t>=IF($E400="","",NL("Last","Sales Price","Unit Price","Item No.",$E400,"Ending Date","''","Sales Code","EUR PRICE"))</t>
  </si>
  <si>
    <t>=NL("First","BOM Component","Quantity per","Parent Item No.",$B400,"no.",$E400)</t>
  </si>
  <si>
    <t>=NL("First","Item","Description","No.",$B401)</t>
  </si>
  <si>
    <t>=NL("Last","Sales Price","Unit Price","Item No.",$B401,"Ending Date","''","Sales Code","EUR PRICE")</t>
  </si>
  <si>
    <t>=IF($E401="","",NL("First","Item","Description","No.",$E401))</t>
  </si>
  <si>
    <t>=IF($E401="","",NL("Last","Sales Price","Unit Price","Item No.",$E401,"Ending Date","''","Sales Code","EUR PRICE"))</t>
  </si>
  <si>
    <t>=NL("First","BOM Component","Quantity per","Parent Item No.",$B401,"no.",$E401)</t>
  </si>
  <si>
    <t>=NL("First","Item","Description","No.",$B402)</t>
  </si>
  <si>
    <t>=NL("Last","Sales Price","Unit Price","Item No.",$B402,"Ending Date","''","Sales Code","EUR PRICE")</t>
  </si>
  <si>
    <t>=IF($E402="","",NL("First","Item","Description","No.",$E402))</t>
  </si>
  <si>
    <t>=IF($E402="","",NL("Last","Sales Price","Unit Price","Item No.",$E402,"Ending Date","''","Sales Code","EUR PRICE"))</t>
  </si>
  <si>
    <t>=NL("First","BOM Component","Quantity per","Parent Item No.",$B402,"no.",$E402)</t>
  </si>
  <si>
    <t>=NL("First","Item","Description","No.",$B403)</t>
  </si>
  <si>
    <t>=NL("Last","Sales Price","Unit Price","Item No.",$B403,"Ending Date","''","Sales Code","EUR PRICE")</t>
  </si>
  <si>
    <t>=NL("First","Item","Description","No.",$B404)</t>
  </si>
  <si>
    <t>=NL("Last","Sales Price","Unit Price","Item No.",$B404,"Ending Date","''","Sales Code","EUR PRICE")</t>
  </si>
  <si>
    <t>=IF($E404="","",NL("First","Item","Description","No.",$E404))</t>
  </si>
  <si>
    <t>=IF($E404="","",NL("Last","Sales Price","Unit Price","Item No.",$E404,"Ending Date","''","Sales Code","EUR PRICE"))</t>
  </si>
  <si>
    <t>=NL("First","BOM Component","Quantity per","Parent Item No.",$B404,"no.",$E404)</t>
  </si>
  <si>
    <t>=NL("First","Item","Description","No.",$B405)</t>
  </si>
  <si>
    <t>=NL("Last","Sales Price","Unit Price","Item No.",$B405,"Ending Date","''","Sales Code","EUR PRICE")</t>
  </si>
  <si>
    <t>=IF($E405="","",NL("First","Item","Description","No.",$E405))</t>
  </si>
  <si>
    <t>=IF($E405="","",NL("Last","Sales Price","Unit Price","Item No.",$E405,"Ending Date","''","Sales Code","EUR PRICE"))</t>
  </si>
  <si>
    <t>=NL("First","BOM Component","Quantity per","Parent Item No.",$B405,"no.",$E405)</t>
  </si>
  <si>
    <t>=NL("First","Item","Description","No.",$B406)</t>
  </si>
  <si>
    <t>=NL("Last","Sales Price","Unit Price","Item No.",$B406,"Ending Date","''","Sales Code","EUR PRICE")</t>
  </si>
  <si>
    <t>=NL("First","Item","Description","No.",$B407)</t>
  </si>
  <si>
    <t>=NL("Last","Sales Price","Unit Price","Item No.",$B407,"Ending Date","''","Sales Code","EUR PRICE")</t>
  </si>
  <si>
    <t>=IF($E407="","",NL("First","Item","Description","No.",$E407))</t>
  </si>
  <si>
    <t>=IF($E407="","",NL("Last","Sales Price","Unit Price","Item No.",$E407,"Ending Date","''","Sales Code","EUR PRICE"))</t>
  </si>
  <si>
    <t>=NL("First","BOM Component","Quantity per","Parent Item No.",$B407,"no.",$E407)</t>
  </si>
  <si>
    <t>=NL("First","Item","Description","No.",$B408)</t>
  </si>
  <si>
    <t>=NL("Last","Sales Price","Unit Price","Item No.",$B408,"Ending Date","''","Sales Code","EUR PRICE")</t>
  </si>
  <si>
    <t>=IF($E408="","",NL("First","Item","Description","No.",$E408))</t>
  </si>
  <si>
    <t>=IF($E408="","",NL("Last","Sales Price","Unit Price","Item No.",$E408,"Ending Date","''","Sales Code","EUR PRICE"))</t>
  </si>
  <si>
    <t>=NL("First","BOM Component","Quantity per","Parent Item No.",$B408,"no.",$E408)</t>
  </si>
  <si>
    <t>=NL("First","Item","Description","No.",$B409)</t>
  </si>
  <si>
    <t>=NL("Last","Sales Price","Unit Price","Item No.",$B409,"Ending Date","''","Sales Code","EUR PRICE")</t>
  </si>
  <si>
    <t>=IF($E409="","",NL("First","Item","Description","No.",$E409))</t>
  </si>
  <si>
    <t>=IF($E409="","",NL("Last","Sales Price","Unit Price","Item No.",$E409,"Ending Date","''","Sales Code","EUR PRICE"))</t>
  </si>
  <si>
    <t>=NL("First","BOM Component","Quantity per","Parent Item No.",$B409,"no.",$E409)</t>
  </si>
  <si>
    <t>=NL("First","Item","Description","No.",$B410)</t>
  </si>
  <si>
    <t>=NL("Last","Sales Price","Unit Price","Item No.",$B410,"Ending Date","''","Sales Code","EUR PRICE")</t>
  </si>
  <si>
    <t>=NL("First","Item","Description","No.",$B411)</t>
  </si>
  <si>
    <t>=NL("Last","Sales Price","Unit Price","Item No.",$B411,"Ending Date","''","Sales Code","EUR PRICE")</t>
  </si>
  <si>
    <t>=IF($E411="","",NL("First","Item","Description","No.",$E411))</t>
  </si>
  <si>
    <t>=IF($E411="","",NL("Last","Sales Price","Unit Price","Item No.",$E411,"Ending Date","''","Sales Code","EUR PRICE"))</t>
  </si>
  <si>
    <t>=NL("First","BOM Component","Quantity per","Parent Item No.",$B411,"no.",$E411)</t>
  </si>
  <si>
    <t>=NL("First","Item","Description","No.",$B412)</t>
  </si>
  <si>
    <t>=NL("Last","Sales Price","Unit Price","Item No.",$B412,"Ending Date","''","Sales Code","EUR PRICE")</t>
  </si>
  <si>
    <t>=IF($E412="","",NL("First","Item","Description","No.",$E412))</t>
  </si>
  <si>
    <t>=IF($E412="","",NL("Last","Sales Price","Unit Price","Item No.",$E412,"Ending Date","''","Sales Code","EUR PRICE"))</t>
  </si>
  <si>
    <t>=NL("First","BOM Component","Quantity per","Parent Item No.",$B412,"no.",$E412)</t>
  </si>
  <si>
    <t>=NL("First","Item","Description","No.",$B413)</t>
  </si>
  <si>
    <t>=NL("Last","Sales Price","Unit Price","Item No.",$B413,"Ending Date","''","Sales Code","EUR PRICE")</t>
  </si>
  <si>
    <t>=NL("First","Item","Description","No.",$B414)</t>
  </si>
  <si>
    <t>=NL("Last","Sales Price","Unit Price","Item No.",$B414,"Ending Date","''","Sales Code","EUR PRICE")</t>
  </si>
  <si>
    <t>=IF($E414="","",NL("First","Item","Description","No.",$E414))</t>
  </si>
  <si>
    <t>=IF($E414="","",NL("Last","Sales Price","Unit Price","Item No.",$E414,"Ending Date","''","Sales Code","EUR PRICE"))</t>
  </si>
  <si>
    <t>=NL("First","BOM Component","Quantity per","Parent Item No.",$B414,"no.",$E414)</t>
  </si>
  <si>
    <t>=NL("First","Item","Description","No.",$B415)</t>
  </si>
  <si>
    <t>=NL("Last","Sales Price","Unit Price","Item No.",$B415,"Ending Date","''","Sales Code","EUR PRICE")</t>
  </si>
  <si>
    <t>=IF($E415="","",NL("First","Item","Description","No.",$E415))</t>
  </si>
  <si>
    <t>=IF($E415="","",NL("Last","Sales Price","Unit Price","Item No.",$E415,"Ending Date","''","Sales Code","EUR PRICE"))</t>
  </si>
  <si>
    <t>=NL("First","BOM Component","Quantity per","Parent Item No.",$B415,"no.",$E415)</t>
  </si>
  <si>
    <t>=NL("First","Item","Description","No.",$B416)</t>
  </si>
  <si>
    <t>=NL("Last","Sales Price","Unit Price","Item No.",$B416,"Ending Date","''","Sales Code","EUR PRICE")</t>
  </si>
  <si>
    <t>=NL("First","Item","Description","No.",$B417)</t>
  </si>
  <si>
    <t>=NL("Last","Sales Price","Unit Price","Item No.",$B417,"Ending Date","''","Sales Code","EUR PRICE")</t>
  </si>
  <si>
    <t>=IF($E417="","",NL("First","Item","Description","No.",$E417))</t>
  </si>
  <si>
    <t>=IF($E417="","",NL("Last","Sales Price","Unit Price","Item No.",$E417,"Ending Date","''","Sales Code","EUR PRICE"))</t>
  </si>
  <si>
    <t>=NL("First","BOM Component","Quantity per","Parent Item No.",$B417,"no.",$E417)</t>
  </si>
  <si>
    <t>=NL("First","Item","Description","No.",$B418)</t>
  </si>
  <si>
    <t>=NL("Last","Sales Price","Unit Price","Item No.",$B418,"Ending Date","''","Sales Code","EUR PRICE")</t>
  </si>
  <si>
    <t>=IF($E418="","",NL("First","Item","Description","No.",$E418))</t>
  </si>
  <si>
    <t>=IF($E418="","",NL("Last","Sales Price","Unit Price","Item No.",$E418,"Ending Date","''","Sales Code","EUR PRICE"))</t>
  </si>
  <si>
    <t>=NL("First","BOM Component","Quantity per","Parent Item No.",$B418,"no.",$E418)</t>
  </si>
  <si>
    <t>=NL("First","Item","Description","No.",$B419)</t>
  </si>
  <si>
    <t>=NL("Last","Sales Price","Unit Price","Item No.",$B419,"Ending Date","''","Sales Code","EUR PRICE")</t>
  </si>
  <si>
    <t>=IF($E419="","",NL("First","Item","Description","No.",$E419))</t>
  </si>
  <si>
    <t>=IF($E419="","",NL("Last","Sales Price","Unit Price","Item No.",$E419,"Ending Date","''","Sales Code","EUR PRICE"))</t>
  </si>
  <si>
    <t>=NL("First","BOM Component","Quantity per","Parent Item No.",$B419,"no.",$E419)</t>
  </si>
  <si>
    <t>=NL("First","Item","Description","No.",$B420)</t>
  </si>
  <si>
    <t>=NL("Last","Sales Price","Unit Price","Item No.",$B420,"Ending Date","''","Sales Code","EUR PRICE")</t>
  </si>
  <si>
    <t>=NL("First","Item","Description","No.",$B421)</t>
  </si>
  <si>
    <t>=NL("Last","Sales Price","Unit Price","Item No.",$B421,"Ending Date","''","Sales Code","EUR PRICE")</t>
  </si>
  <si>
    <t>=IF($E421="","",NL("First","Item","Description","No.",$E421))</t>
  </si>
  <si>
    <t>=IF($E421="","",NL("Last","Sales Price","Unit Price","Item No.",$E421,"Ending Date","''","Sales Code","EUR PRICE"))</t>
  </si>
  <si>
    <t>=NL("First","BOM Component","Quantity per","Parent Item No.",$B421,"no.",$E421)</t>
  </si>
  <si>
    <t>=NL("First","Item","Description","No.",$B422)</t>
  </si>
  <si>
    <t>=NL("Last","Sales Price","Unit Price","Item No.",$B422,"Ending Date","''","Sales Code","EUR PRICE")</t>
  </si>
  <si>
    <t>=IF($E422="","",NL("First","Item","Description","No.",$E422))</t>
  </si>
  <si>
    <t>=IF($E422="","",NL("Last","Sales Price","Unit Price","Item No.",$E422,"Ending Date","''","Sales Code","EUR PRICE"))</t>
  </si>
  <si>
    <t>=NL("First","BOM Component","Quantity per","Parent Item No.",$B422,"no.",$E422)</t>
  </si>
  <si>
    <t>=NL("First","Item","Description","No.",$B423)</t>
  </si>
  <si>
    <t>=NL("Last","Sales Price","Unit Price","Item No.",$B423,"Ending Date","''","Sales Code","EUR PRICE")</t>
  </si>
  <si>
    <t>=NL("First","Item","Description","No.",$B424)</t>
  </si>
  <si>
    <t>=NL("Last","Sales Price","Unit Price","Item No.",$B424,"Ending Date","''","Sales Code","EUR PRICE")</t>
  </si>
  <si>
    <t>=IF($E424="","",NL("First","Item","Description","No.",$E424))</t>
  </si>
  <si>
    <t>=IF($E424="","",NL("Last","Sales Price","Unit Price","Item No.",$E424,"Ending Date","''","Sales Code","EUR PRICE"))</t>
  </si>
  <si>
    <t>=NL("First","BOM Component","Quantity per","Parent Item No.",$B424,"no.",$E424)</t>
  </si>
  <si>
    <t>=NL("First","Item","Description","No.",$B425)</t>
  </si>
  <si>
    <t>=NL("Last","Sales Price","Unit Price","Item No.",$B425,"Ending Date","''","Sales Code","EUR PRICE")</t>
  </si>
  <si>
    <t>=IF($E425="","",NL("First","Item","Description","No.",$E425))</t>
  </si>
  <si>
    <t>=IF($E425="","",NL("Last","Sales Price","Unit Price","Item No.",$E425,"Ending Date","''","Sales Code","EUR PRICE"))</t>
  </si>
  <si>
    <t>=NL("First","BOM Component","Quantity per","Parent Item No.",$B425,"no.",$E425)</t>
  </si>
  <si>
    <t>=NL("First","Item","Description","No.",$B426)</t>
  </si>
  <si>
    <t>=NL("Last","Sales Price","Unit Price","Item No.",$B426,"Ending Date","''","Sales Code","EUR PRICE")</t>
  </si>
  <si>
    <t>=NL("First","Item","Description","No.",$B427)</t>
  </si>
  <si>
    <t>=NL("Last","Sales Price","Unit Price","Item No.",$B427,"Ending Date","''","Sales Code","EUR PRICE")</t>
  </si>
  <si>
    <t>=IF($E427="","",NL("First","Item","Description","No.",$E427))</t>
  </si>
  <si>
    <t>=IF($E427="","",NL("Last","Sales Price","Unit Price","Item No.",$E427,"Ending Date","''","Sales Code","EUR PRICE"))</t>
  </si>
  <si>
    <t>=NL("First","BOM Component","Quantity per","Parent Item No.",$B427,"no.",$E427)</t>
  </si>
  <si>
    <t>=NL("First","Item","Description","No.",$B428)</t>
  </si>
  <si>
    <t>=NL("Last","Sales Price","Unit Price","Item No.",$B428,"Ending Date","''","Sales Code","EUR PRICE")</t>
  </si>
  <si>
    <t>=IF($E428="","",NL("First","Item","Description","No.",$E428))</t>
  </si>
  <si>
    <t>=IF($E428="","",NL("Last","Sales Price","Unit Price","Item No.",$E428,"Ending Date","''","Sales Code","EUR PRICE"))</t>
  </si>
  <si>
    <t>=NL("First","BOM Component","Quantity per","Parent Item No.",$B428,"no.",$E428)</t>
  </si>
  <si>
    <t>=NL("First","Item","Description","No.",$B429)</t>
  </si>
  <si>
    <t>=NL("Last","Sales Price","Unit Price","Item No.",$B429,"Ending Date","''","Sales Code","EUR PRICE")</t>
  </si>
  <si>
    <t>=IF($E429="","",NL("First","Item","Description","No.",$E429))</t>
  </si>
  <si>
    <t>=IF($E429="","",NL("Last","Sales Price","Unit Price","Item No.",$E429,"Ending Date","''","Sales Code","EUR PRICE"))</t>
  </si>
  <si>
    <t>=NL("First","BOM Component","Quantity per","Parent Item No.",$B429,"no.",$E429)</t>
  </si>
  <si>
    <t>=NL("First","Item","Description","No.",$B430)</t>
  </si>
  <si>
    <t>=NL("Last","Sales Price","Unit Price","Item No.",$B430,"Ending Date","''","Sales Code","EUR PRICE")</t>
  </si>
  <si>
    <t>=NL("First","Item","Description","No.",$B431)</t>
  </si>
  <si>
    <t>=NL("Last","Sales Price","Unit Price","Item No.",$B431,"Ending Date","''","Sales Code","EUR PRICE")</t>
  </si>
  <si>
    <t>=IF($E431="","",NL("First","Item","Description","No.",$E431))</t>
  </si>
  <si>
    <t>=IF($E431="","",NL("Last","Sales Price","Unit Price","Item No.",$E431,"Ending Date","''","Sales Code","EUR PRICE"))</t>
  </si>
  <si>
    <t>=NL("First","BOM Component","Quantity per","Parent Item No.",$B431,"no.",$E431)</t>
  </si>
  <si>
    <t>=NL("First","Item","Description","No.",$B432)</t>
  </si>
  <si>
    <t>=NL("Last","Sales Price","Unit Price","Item No.",$B432,"Ending Date","''","Sales Code","EUR PRICE")</t>
  </si>
  <si>
    <t>=IF($E432="","",NL("First","Item","Description","No.",$E432))</t>
  </si>
  <si>
    <t>=IF($E432="","",NL("Last","Sales Price","Unit Price","Item No.",$E432,"Ending Date","''","Sales Code","EUR PRICE"))</t>
  </si>
  <si>
    <t>=NL("First","BOM Component","Quantity per","Parent Item No.",$B432,"no.",$E432)</t>
  </si>
  <si>
    <t>=NL("First","Item","Description","No.",$B433)</t>
  </si>
  <si>
    <t>=NL("Last","Sales Price","Unit Price","Item No.",$B433,"Ending Date","''","Sales Code","EUR PRICE")</t>
  </si>
  <si>
    <t>=NL("First","Item","Description","No.",$B434)</t>
  </si>
  <si>
    <t>=NL("Last","Sales Price","Unit Price","Item No.",$B434,"Ending Date","''","Sales Code","EUR PRICE")</t>
  </si>
  <si>
    <t>=IF($E434="","",NL("First","Item","Description","No.",$E434))</t>
  </si>
  <si>
    <t>=IF($E434="","",NL("Last","Sales Price","Unit Price","Item No.",$E434,"Ending Date","''","Sales Code","EUR PRICE"))</t>
  </si>
  <si>
    <t>=NL("First","BOM Component","Quantity per","Parent Item No.",$B434,"no.",$E434)</t>
  </si>
  <si>
    <t>=NL("First","Item","Description","No.",$B435)</t>
  </si>
  <si>
    <t>=NL("Last","Sales Price","Unit Price","Item No.",$B435,"Ending Date","''","Sales Code","EUR PRICE")</t>
  </si>
  <si>
    <t>=IF($E435="","",NL("First","Item","Description","No.",$E435))</t>
  </si>
  <si>
    <t>=IF($E435="","",NL("Last","Sales Price","Unit Price","Item No.",$E435,"Ending Date","''","Sales Code","EUR PRICE"))</t>
  </si>
  <si>
    <t>=NL("First","BOM Component","Quantity per","Parent Item No.",$B435,"no.",$E435)</t>
  </si>
  <si>
    <t>=NL("First","Item","Description","No.",$B436)</t>
  </si>
  <si>
    <t>=NL("Last","Sales Price","Unit Price","Item No.",$B436,"Ending Date","''","Sales Code","EUR PRICE")</t>
  </si>
  <si>
    <t>=NL("First","Item","Description","No.",$B437)</t>
  </si>
  <si>
    <t>=NL("Last","Sales Price","Unit Price","Item No.",$B437,"Ending Date","''","Sales Code","EUR PRICE")</t>
  </si>
  <si>
    <t>=IF($E437="","",NL("First","Item","Description","No.",$E437))</t>
  </si>
  <si>
    <t>=IF($E437="","",NL("Last","Sales Price","Unit Price","Item No.",$E437,"Ending Date","''","Sales Code","EUR PRICE"))</t>
  </si>
  <si>
    <t>=NL("First","BOM Component","Quantity per","Parent Item No.",$B437,"no.",$E437)</t>
  </si>
  <si>
    <t>=NL("First","Item","Description","No.",$B438)</t>
  </si>
  <si>
    <t>=NL("Last","Sales Price","Unit Price","Item No.",$B438,"Ending Date","''","Sales Code","EUR PRICE")</t>
  </si>
  <si>
    <t>=IF($E438="","",NL("First","Item","Description","No.",$E438))</t>
  </si>
  <si>
    <t>=IF($E438="","",NL("Last","Sales Price","Unit Price","Item No.",$E438,"Ending Date","''","Sales Code","EUR PRICE"))</t>
  </si>
  <si>
    <t>=NL("First","BOM Component","Quantity per","Parent Item No.",$B438,"no.",$E438)</t>
  </si>
  <si>
    <t>=NL("First","Item","Description","No.",$B439)</t>
  </si>
  <si>
    <t>=NL("Last","Sales Price","Unit Price","Item No.",$B439,"Ending Date","''","Sales Code","EUR PRICE")</t>
  </si>
  <si>
    <t>=IF($E439="","",NL("First","Item","Description","No.",$E439))</t>
  </si>
  <si>
    <t>=IF($E439="","",NL("Last","Sales Price","Unit Price","Item No.",$E439,"Ending Date","''","Sales Code","EUR PRICE"))</t>
  </si>
  <si>
    <t>=NL("First","BOM Component","Quantity per","Parent Item No.",$B439,"no.",$E439)</t>
  </si>
  <si>
    <t>=NL("First","Item","Description","No.",$B440)</t>
  </si>
  <si>
    <t>=NL("Last","Sales Price","Unit Price","Item No.",$B440,"Ending Date","''","Sales Code","EUR PRICE")</t>
  </si>
  <si>
    <t>=NL("First","Item","Description","No.",$B441)</t>
  </si>
  <si>
    <t>=NL("Last","Sales Price","Unit Price","Item No.",$B441,"Ending Date","''","Sales Code","EUR PRICE")</t>
  </si>
  <si>
    <t>=IF($E441="","",NL("First","Item","Description","No.",$E441))</t>
  </si>
  <si>
    <t>=IF($E441="","",NL("Last","Sales Price","Unit Price","Item No.",$E441,"Ending Date","''","Sales Code","EUR PRICE"))</t>
  </si>
  <si>
    <t>=NL("First","BOM Component","Quantity per","Parent Item No.",$B441,"no.",$E441)</t>
  </si>
  <si>
    <t>=NL("First","Item","Description","No.",$B442)</t>
  </si>
  <si>
    <t>=NL("Last","Sales Price","Unit Price","Item No.",$B442,"Ending Date","''","Sales Code","EUR PRICE")</t>
  </si>
  <si>
    <t>=IF($E442="","",NL("First","Item","Description","No.",$E442))</t>
  </si>
  <si>
    <t>=IF($E442="","",NL("Last","Sales Price","Unit Price","Item No.",$E442,"Ending Date","''","Sales Code","EUR PRICE"))</t>
  </si>
  <si>
    <t>=NL("First","BOM Component","Quantity per","Parent Item No.",$B442,"no.",$E442)</t>
  </si>
  <si>
    <t>=NL("First","Item","Description","No.",$B443)</t>
  </si>
  <si>
    <t>=NL("Last","Sales Price","Unit Price","Item No.",$B443,"Ending Date","''","Sales Code","EUR PRICE")</t>
  </si>
  <si>
    <t>=IF($E443="","",NL("First","Item","Description","No.",$E443))</t>
  </si>
  <si>
    <t>=IF($E443="","",NL("Last","Sales Price","Unit Price","Item No.",$E443,"Ending Date","''","Sales Code","EUR PRICE"))</t>
  </si>
  <si>
    <t>=NL("First","BOM Component","Quantity per","Parent Item No.",$B443,"no.",$E443)</t>
  </si>
  <si>
    <t>=NL("First","Item","Description","No.",$B444)</t>
  </si>
  <si>
    <t>=NL("Last","Sales Price","Unit Price","Item No.",$B444,"Ending Date","''","Sales Code","EUR PRICE")</t>
  </si>
  <si>
    <t>=NL("First","Item","Description","No.",$B445)</t>
  </si>
  <si>
    <t>=NL("Last","Sales Price","Unit Price","Item No.",$B445,"Ending Date","''","Sales Code","EUR PRICE")</t>
  </si>
  <si>
    <t>=IF($E445="","",NL("First","Item","Description","No.",$E445))</t>
  </si>
  <si>
    <t>=IF($E445="","",NL("Last","Sales Price","Unit Price","Item No.",$E445,"Ending Date","''","Sales Code","EUR PRICE"))</t>
  </si>
  <si>
    <t>=NL("First","BOM Component","Quantity per","Parent Item No.",$B445,"no.",$E445)</t>
  </si>
  <si>
    <t>=NL("First","Item","Description","No.",$B446)</t>
  </si>
  <si>
    <t>=NL("Last","Sales Price","Unit Price","Item No.",$B446,"Ending Date","''","Sales Code","EUR PRICE")</t>
  </si>
  <si>
    <t>=IF($E446="","",NL("First","Item","Description","No.",$E446))</t>
  </si>
  <si>
    <t>=IF($E446="","",NL("Last","Sales Price","Unit Price","Item No.",$E446,"Ending Date","''","Sales Code","EUR PRICE"))</t>
  </si>
  <si>
    <t>=NL("First","BOM Component","Quantity per","Parent Item No.",$B446,"no.",$E446)</t>
  </si>
  <si>
    <t>=NL("First","Item","Description","No.",$B447)</t>
  </si>
  <si>
    <t>=NL("Last","Sales Price","Unit Price","Item No.",$B447,"Ending Date","''","Sales Code","EUR PRICE")</t>
  </si>
  <si>
    <t>=IF($E447="","",NL("First","Item","Description","No.",$E447))</t>
  </si>
  <si>
    <t>=IF($E447="","",NL("Last","Sales Price","Unit Price","Item No.",$E447,"Ending Date","''","Sales Code","EUR PRICE"))</t>
  </si>
  <si>
    <t>=NL("First","BOM Component","Quantity per","Parent Item No.",$B447,"no.",$E447)</t>
  </si>
  <si>
    <t>=NL("First","Item","Description","No.",$B448)</t>
  </si>
  <si>
    <t>=NL("Last","Sales Price","Unit Price","Item No.",$B448,"Ending Date","''","Sales Code","EUR PRICE")</t>
  </si>
  <si>
    <t>=NL("First","Item","Description","No.",$B449)</t>
  </si>
  <si>
    <t>=NL("Last","Sales Price","Unit Price","Item No.",$B449,"Ending Date","''","Sales Code","EUR PRICE")</t>
  </si>
  <si>
    <t>=IF($E449="","",NL("First","Item","Description","No.",$E449))</t>
  </si>
  <si>
    <t>=IF($E449="","",NL("Last","Sales Price","Unit Price","Item No.",$E449,"Ending Date","''","Sales Code","EUR PRICE"))</t>
  </si>
  <si>
    <t>=NL("First","BOM Component","Quantity per","Parent Item No.",$B449,"no.",$E449)</t>
  </si>
  <si>
    <t>=NL("First","Item","Description","No.",$B450)</t>
  </si>
  <si>
    <t>=NL("Last","Sales Price","Unit Price","Item No.",$B450,"Ending Date","''","Sales Code","EUR PRICE")</t>
  </si>
  <si>
    <t>=IF($E450="","",NL("First","Item","Description","No.",$E450))</t>
  </si>
  <si>
    <t>=IF($E450="","",NL("Last","Sales Price","Unit Price","Item No.",$E450,"Ending Date","''","Sales Code","EUR PRICE"))</t>
  </si>
  <si>
    <t>=NL("First","BOM Component","Quantity per","Parent Item No.",$B450,"no.",$E450)</t>
  </si>
  <si>
    <t>=NL("First","Item","Description","No.",$B451)</t>
  </si>
  <si>
    <t>=NL("Last","Sales Price","Unit Price","Item No.",$B451,"Ending Date","''","Sales Code","EUR PRICE")</t>
  </si>
  <si>
    <t>=NL("First","Item","Description","No.",$B452)</t>
  </si>
  <si>
    <t>=NL("Last","Sales Price","Unit Price","Item No.",$B452,"Ending Date","''","Sales Code","EUR PRICE")</t>
  </si>
  <si>
    <t>=IF($E452="","",NL("First","Item","Description","No.",$E452))</t>
  </si>
  <si>
    <t>=IF($E452="","",NL("Last","Sales Price","Unit Price","Item No.",$E452,"Ending Date","''","Sales Code","EUR PRICE"))</t>
  </si>
  <si>
    <t>=NL("First","BOM Component","Quantity per","Parent Item No.",$B452,"no.",$E452)</t>
  </si>
  <si>
    <t>=NL("First","Item","Description","No.",$B453)</t>
  </si>
  <si>
    <t>=NL("Last","Sales Price","Unit Price","Item No.",$B453,"Ending Date","''","Sales Code","EUR PRICE")</t>
  </si>
  <si>
    <t>=IF($E453="","",NL("First","Item","Description","No.",$E453))</t>
  </si>
  <si>
    <t>=IF($E453="","",NL("Last","Sales Price","Unit Price","Item No.",$E453,"Ending Date","''","Sales Code","EUR PRICE"))</t>
  </si>
  <si>
    <t>=NL("First","BOM Component","Quantity per","Parent Item No.",$B453,"no.",$E453)</t>
  </si>
  <si>
    <t>=NL("First","Item","Description","No.",$B454)</t>
  </si>
  <si>
    <t>=NL("Last","Sales Price","Unit Price","Item No.",$B454,"Ending Date","''","Sales Code","EUR PRICE")</t>
  </si>
  <si>
    <t>=NL("First","Item","Description","No.",$B455)</t>
  </si>
  <si>
    <t>=NL("Last","Sales Price","Unit Price","Item No.",$B455,"Ending Date","''","Sales Code","EUR PRICE")</t>
  </si>
  <si>
    <t>=IF($E455="","",NL("First","Item","Description","No.",$E455))</t>
  </si>
  <si>
    <t>=IF($E455="","",NL("Last","Sales Price","Unit Price","Item No.",$E455,"Ending Date","''","Sales Code","EUR PRICE"))</t>
  </si>
  <si>
    <t>=NL("First","BOM Component","Quantity per","Parent Item No.",$B455,"no.",$E455)</t>
  </si>
  <si>
    <t>=NL("First","Item","Description","No.",$B456)</t>
  </si>
  <si>
    <t>=NL("Last","Sales Price","Unit Price","Item No.",$B456,"Ending Date","''","Sales Code","EUR PRICE")</t>
  </si>
  <si>
    <t>=IF($E456="","",NL("First","Item","Description","No.",$E456))</t>
  </si>
  <si>
    <t>=IF($E456="","",NL("Last","Sales Price","Unit Price","Item No.",$E456,"Ending Date","''","Sales Code","EUR PRICE"))</t>
  </si>
  <si>
    <t>=NL("First","BOM Component","Quantity per","Parent Item No.",$B456,"no.",$E456)</t>
  </si>
  <si>
    <t>=NL("First","Item","Description","No.",$B457)</t>
  </si>
  <si>
    <t>=NL("Last","Sales Price","Unit Price","Item No.",$B457,"Ending Date","''","Sales Code","EUR PRICE")</t>
  </si>
  <si>
    <t>=NL("First","Item","Description","No.",$B458)</t>
  </si>
  <si>
    <t>=NL("Last","Sales Price","Unit Price","Item No.",$B458,"Ending Date","''","Sales Code","EUR PRICE")</t>
  </si>
  <si>
    <t>=IF($E458="","",NL("First","Item","Description","No.",$E458))</t>
  </si>
  <si>
    <t>=IF($E458="","",NL("Last","Sales Price","Unit Price","Item No.",$E458,"Ending Date","''","Sales Code","EUR PRICE"))</t>
  </si>
  <si>
    <t>=NL("First","BOM Component","Quantity per","Parent Item No.",$B458,"no.",$E458)</t>
  </si>
  <si>
    <t>=NL("First","Item","Description","No.",$B459)</t>
  </si>
  <si>
    <t>=NL("Last","Sales Price","Unit Price","Item No.",$B459,"Ending Date","''","Sales Code","EUR PRICE")</t>
  </si>
  <si>
    <t>=IF($E459="","",NL("First","Item","Description","No.",$E459))</t>
  </si>
  <si>
    <t>=IF($E459="","",NL("Last","Sales Price","Unit Price","Item No.",$E459,"Ending Date","''","Sales Code","EUR PRICE"))</t>
  </si>
  <si>
    <t>=NL("First","BOM Component","Quantity per","Parent Item No.",$B459,"no.",$E459)</t>
  </si>
  <si>
    <t>=NL("First","Item","Description","No.",$B460)</t>
  </si>
  <si>
    <t>=NL("Last","Sales Price","Unit Price","Item No.",$B460,"Ending Date","''","Sales Code","EUR PRICE")</t>
  </si>
  <si>
    <t>=NL("First","Item","Description","No.",$B461)</t>
  </si>
  <si>
    <t>=NL("Last","Sales Price","Unit Price","Item No.",$B461,"Ending Date","''","Sales Code","EUR PRICE")</t>
  </si>
  <si>
    <t>=IF($E461="","",NL("First","Item","Description","No.",$E461))</t>
  </si>
  <si>
    <t>=IF($E461="","",NL("Last","Sales Price","Unit Price","Item No.",$E461,"Ending Date","''","Sales Code","EUR PRICE"))</t>
  </si>
  <si>
    <t>=NL("First","BOM Component","Quantity per","Parent Item No.",$B461,"no.",$E461)</t>
  </si>
  <si>
    <t>=NL("First","Item","Description","No.",$B462)</t>
  </si>
  <si>
    <t>=NL("Last","Sales Price","Unit Price","Item No.",$B462,"Ending Date","''","Sales Code","EUR PRICE")</t>
  </si>
  <si>
    <t>=IF($E462="","",NL("First","Item","Description","No.",$E462))</t>
  </si>
  <si>
    <t>=IF($E462="","",NL("Last","Sales Price","Unit Price","Item No.",$E462,"Ending Date","''","Sales Code","EUR PRICE"))</t>
  </si>
  <si>
    <t>=NL("First","BOM Component","Quantity per","Parent Item No.",$B462,"no.",$E462)</t>
  </si>
  <si>
    <t>=NL("First","Item","Description","No.",$B463)</t>
  </si>
  <si>
    <t>=NL("Last","Sales Price","Unit Price","Item No.",$B463,"Ending Date","''","Sales Code","EUR PRICE")</t>
  </si>
  <si>
    <t>=IF($E463="","",NL("First","Item","Description","No.",$E463))</t>
  </si>
  <si>
    <t>=IF($E463="","",NL("Last","Sales Price","Unit Price","Item No.",$E463,"Ending Date","''","Sales Code","EUR PRICE"))</t>
  </si>
  <si>
    <t>=NL("First","BOM Component","Quantity per","Parent Item No.",$B463,"no.",$E463)</t>
  </si>
  <si>
    <t>=NL("First","Item","Description","No.",$B464)</t>
  </si>
  <si>
    <t>=NL("Last","Sales Price","Unit Price","Item No.",$B464,"Ending Date","''","Sales Code","EUR PRICE")</t>
  </si>
  <si>
    <t>=NL("First","Item","Description","No.",$B7)</t>
  </si>
  <si>
    <t>=IF($E7="","",NL("First","Item","Description","No.",$E7))</t>
  </si>
  <si>
    <t>=IF($E7="","",NL("Last","Sales Price","Unit Price","Item No.",$E7,"Ending Date","''","Sales Code","EUR PRICE"))</t>
  </si>
  <si>
    <t>=IF($E10="","",NL("First","Item","Description","No.",$E10))</t>
  </si>
  <si>
    <t>=IF($E10="","",NL("Last","Sales Price","Unit Price","Item No.",$E10,"Ending Date","''","Sales Code","EUR PRICE"))</t>
  </si>
  <si>
    <t>=IF($E13="","",NL("First","Item","Description","No.",$E13))</t>
  </si>
  <si>
    <t>=IF($E13="","",NL("Last","Sales Price","Unit Price","Item No.",$E13,"Ending Date","''","Sales Code","EUR PRICE"))</t>
  </si>
  <si>
    <t>=IF($E16="","",NL("First","Item","Description","No.",$E16))</t>
  </si>
  <si>
    <t>=IF($E16="","",NL("Last","Sales Price","Unit Price","Item No.",$E16,"Ending Date","''","Sales Code","EUR PRICE"))</t>
  </si>
  <si>
    <t>=IF($E17="","",NL("First","Item","Description","No.",$E17))</t>
  </si>
  <si>
    <t>=IF($E17="","",NL("Last","Sales Price","Unit Price","Item No.",$E17,"Ending Date","''","Sales Code","EUR PRICE"))</t>
  </si>
  <si>
    <t>=IF($E24="","",NL("First","Item","Description","No.",$E24))</t>
  </si>
  <si>
    <t>=IF($E24="","",NL("Last","Sales Price","Unit Price","Item No.",$E24,"Ending Date","''","Sales Code","EUR PRICE"))</t>
  </si>
  <si>
    <t>=IF($E30="","",NL("First","Item","Description","No.",$E30))</t>
  </si>
  <si>
    <t>=IF($E30="","",NL("Last","Sales Price","Unit Price","Item No.",$E30,"Ending Date","''","Sales Code","EUR PRICE"))</t>
  </si>
  <si>
    <t>=IF($E33="","",NL("First","Item","Description","No.",$E33))</t>
  </si>
  <si>
    <t>=IF($E33="","",NL("Last","Sales Price","Unit Price","Item No.",$E33,"Ending Date","''","Sales Code","EUR PRICE"))</t>
  </si>
  <si>
    <t>=IF($E36="","",NL("First","Item","Description","No.",$E36))</t>
  </si>
  <si>
    <t>=IF($E36="","",NL("Last","Sales Price","Unit Price","Item No.",$E36,"Ending Date","''","Sales Code","EUR PRICE"))</t>
  </si>
  <si>
    <t>=IF($E42="","",NL("First","Item","Description","No.",$E42))</t>
  </si>
  <si>
    <t>=IF($E42="","",NL("Last","Sales Price","Unit Price","Item No.",$E42,"Ending Date","''","Sales Code","EUR PRICE"))</t>
  </si>
  <si>
    <t>=IF($E45="","",NL("First","Item","Description","No.",$E45))</t>
  </si>
  <si>
    <t>=IF($E45="","",NL("Last","Sales Price","Unit Price","Item No.",$E45,"Ending Date","''","Sales Code","EUR PRICE"))</t>
  </si>
  <si>
    <t>=IF($E48="","",NL("First","Item","Description","No.",$E48))</t>
  </si>
  <si>
    <t>=IF($E48="","",NL("Last","Sales Price","Unit Price","Item No.",$E48,"Ending Date","''","Sales Code","EUR PRICE"))</t>
  </si>
  <si>
    <t>=IF($E51="","",NL("First","Item","Description","No.",$E51))</t>
  </si>
  <si>
    <t>=IF($E51="","",NL("Last","Sales Price","Unit Price","Item No.",$E51,"Ending Date","''","Sales Code","EUR PRICE"))</t>
  </si>
  <si>
    <t>=IF($E54="","",NL("First","Item","Description","No.",$E54))</t>
  </si>
  <si>
    <t>=IF($E54="","",NL("Last","Sales Price","Unit Price","Item No.",$E54,"Ending Date","''","Sales Code","EUR PRICE"))</t>
  </si>
  <si>
    <t>=IF($E57="","",NL("First","Item","Description","No.",$E57))</t>
  </si>
  <si>
    <t>=IF($E57="","",NL("Last","Sales Price","Unit Price","Item No.",$E57,"Ending Date","''","Sales Code","EUR PRICE"))</t>
  </si>
  <si>
    <t>=IF($E60="","",NL("First","Item","Description","No.",$E60))</t>
  </si>
  <si>
    <t>=IF($E60="","",NL("Last","Sales Price","Unit Price","Item No.",$E60,"Ending Date","''","Sales Code","EUR PRICE"))</t>
  </si>
  <si>
    <t>=IF($E63="","",NL("First","Item","Description","No.",$E63))</t>
  </si>
  <si>
    <t>=IF($E63="","",NL("Last","Sales Price","Unit Price","Item No.",$E63,"Ending Date","''","Sales Code","EUR PRICE"))</t>
  </si>
  <si>
    <t>=IF($E66="","",NL("First","Item","Description","No.",$E66))</t>
  </si>
  <si>
    <t>=IF($E66="","",NL("Last","Sales Price","Unit Price","Item No.",$E66,"Ending Date","''","Sales Code","EUR PRICE"))</t>
  </si>
  <si>
    <t>=IF($E69="","",NL("First","Item","Description","No.",$E69))</t>
  </si>
  <si>
    <t>=IF($E69="","",NL("Last","Sales Price","Unit Price","Item No.",$E69,"Ending Date","''","Sales Code","EUR PRICE"))</t>
  </si>
  <si>
    <t>=IF($E72="","",NL("First","Item","Description","No.",$E72))</t>
  </si>
  <si>
    <t>=IF($E72="","",NL("Last","Sales Price","Unit Price","Item No.",$E72,"Ending Date","''","Sales Code","EUR PRICE"))</t>
  </si>
  <si>
    <t>=IF($E73="","",NL("First","Item","Description","No.",$E73))</t>
  </si>
  <si>
    <t>=IF($E73="","",NL("Last","Sales Price","Unit Price","Item No.",$E73,"Ending Date","''","Sales Code","EUR PRICE"))</t>
  </si>
  <si>
    <t>=IF($E75="","",NL("First","Item","Description","No.",$E75))</t>
  </si>
  <si>
    <t>=IF($E75="","",NL("Last","Sales Price","Unit Price","Item No.",$E75,"Ending Date","''","Sales Code","EUR PRICE"))</t>
  </si>
  <si>
    <t>=IF($E76="","",NL("First","Item","Description","No.",$E76))</t>
  </si>
  <si>
    <t>=IF($E76="","",NL("Last","Sales Price","Unit Price","Item No.",$E76,"Ending Date","''","Sales Code","EUR PRICE"))</t>
  </si>
  <si>
    <t>=IF($E77="","",NL("First","Item","Description","No.",$E77))</t>
  </si>
  <si>
    <t>=IF($E77="","",NL("Last","Sales Price","Unit Price","Item No.",$E77,"Ending Date","''","Sales Code","EUR PRICE"))</t>
  </si>
  <si>
    <t>=IF($E78="","",NL("First","Item","Description","No.",$E78))</t>
  </si>
  <si>
    <t>=IF($E78="","",NL("Last","Sales Price","Unit Price","Item No.",$E78,"Ending Date","''","Sales Code","EUR PRICE"))</t>
  </si>
  <si>
    <t>=IF($E80="","",NL("First","Item","Description","No.",$E80))</t>
  </si>
  <si>
    <t>=IF($E80="","",NL("Last","Sales Price","Unit Price","Item No.",$E80,"Ending Date","''","Sales Code","EUR PRICE"))</t>
  </si>
  <si>
    <t>=IF($E81="","",NL("First","Item","Description","No.",$E81))</t>
  </si>
  <si>
    <t>=IF($E81="","",NL("Last","Sales Price","Unit Price","Item No.",$E81,"Ending Date","''","Sales Code","EUR PRICE"))</t>
  </si>
  <si>
    <t>=IF($E82="","",NL("First","Item","Description","No.",$E82))</t>
  </si>
  <si>
    <t>=IF($E82="","",NL("Last","Sales Price","Unit Price","Item No.",$E82,"Ending Date","''","Sales Code","EUR PRICE"))</t>
  </si>
  <si>
    <t>=IF($E83="","",NL("First","Item","Description","No.",$E83))</t>
  </si>
  <si>
    <t>=IF($E83="","",NL("Last","Sales Price","Unit Price","Item No.",$E83,"Ending Date","''","Sales Code","EUR PRICE"))</t>
  </si>
  <si>
    <t>=IF($E88="","",NL("First","Item","Description","No.",$E88))</t>
  </si>
  <si>
    <t>=IF($E88="","",NL("Last","Sales Price","Unit Price","Item No.",$E88,"Ending Date","''","Sales Code","EUR PRICE"))</t>
  </si>
  <si>
    <t>=IF($E89="","",NL("First","Item","Description","No.",$E89))</t>
  </si>
  <si>
    <t>=IF($E89="","",NL("Last","Sales Price","Unit Price","Item No.",$E89,"Ending Date","''","Sales Code","EUR PRICE"))</t>
  </si>
  <si>
    <t>=IF($E90="","",NL("First","Item","Description","No.",$E90))</t>
  </si>
  <si>
    <t>=IF($E90="","",NL("Last","Sales Price","Unit Price","Item No.",$E90,"Ending Date","''","Sales Code","EUR PRICE"))</t>
  </si>
  <si>
    <t>=IF($E92="","",NL("First","Item","Description","No.",$E92))</t>
  </si>
  <si>
    <t>=IF($E92="","",NL("Last","Sales Price","Unit Price","Item No.",$E92,"Ending Date","''","Sales Code","EUR PRICE"))</t>
  </si>
  <si>
    <t>=IF($E93="","",NL("First","Item","Description","No.",$E93))</t>
  </si>
  <si>
    <t>=IF($E93="","",NL("Last","Sales Price","Unit Price","Item No.",$E93,"Ending Date","''","Sales Code","EUR PRICE"))</t>
  </si>
  <si>
    <t>=IF($E94="","",NL("First","Item","Description","No.",$E94))</t>
  </si>
  <si>
    <t>=IF($E94="","",NL("Last","Sales Price","Unit Price","Item No.",$E94,"Ending Date","''","Sales Code","EUR PRICE"))</t>
  </si>
  <si>
    <t>=IF($E96="","",NL("First","Item","Description","No.",$E96))</t>
  </si>
  <si>
    <t>=IF($E96="","",NL("Last","Sales Price","Unit Price","Item No.",$E96,"Ending Date","''","Sales Code","EUR PRICE"))</t>
  </si>
  <si>
    <t>=IF($E97="","",NL("First","Item","Description","No.",$E97))</t>
  </si>
  <si>
    <t>=IF($E97="","",NL("Last","Sales Price","Unit Price","Item No.",$E97,"Ending Date","''","Sales Code","EUR PRICE"))</t>
  </si>
  <si>
    <t>=IF($E98="","",NL("First","Item","Description","No.",$E98))</t>
  </si>
  <si>
    <t>=IF($E98="","",NL("Last","Sales Price","Unit Price","Item No.",$E98,"Ending Date","''","Sales Code","EUR PRICE"))</t>
  </si>
  <si>
    <t>=IF($E100="","",NL("First","Item","Description","No.",$E100))</t>
  </si>
  <si>
    <t>=IF($E100="","",NL("Last","Sales Price","Unit Price","Item No.",$E100,"Ending Date","''","Sales Code","EUR PRICE"))</t>
  </si>
  <si>
    <t>=IF($E101="","",NL("First","Item","Description","No.",$E101))</t>
  </si>
  <si>
    <t>=IF($E101="","",NL("Last","Sales Price","Unit Price","Item No.",$E101,"Ending Date","''","Sales Code","EUR PRICE"))</t>
  </si>
  <si>
    <t>=IF($E102="","",NL("First","Item","Description","No.",$E102))</t>
  </si>
  <si>
    <t>=IF($E102="","",NL("Last","Sales Price","Unit Price","Item No.",$E102,"Ending Date","''","Sales Code","EUR PRICE"))</t>
  </si>
  <si>
    <t>=IF($E130="","",NL("First","Item","Description","No.",$E130))</t>
  </si>
  <si>
    <t>=IF($E130="","",NL("Last","Sales Price","Unit Price","Item No.",$E130,"Ending Date","''","Sales Code","EUR PRICE"))</t>
  </si>
  <si>
    <t>=IF($E131="","",NL("First","Item","Description","No.",$E131))</t>
  </si>
  <si>
    <t>=IF($E131="","",NL("Last","Sales Price","Unit Price","Item No.",$E131,"Ending Date","''","Sales Code","EUR PRICE"))</t>
  </si>
  <si>
    <t>=IF($E132="","",NL("First","Item","Description","No.",$E132))</t>
  </si>
  <si>
    <t>=IF($E132="","",NL("Last","Sales Price","Unit Price","Item No.",$E132,"Ending Date","''","Sales Code","EUR PRICE"))</t>
  </si>
  <si>
    <t>Auto+Hide+Values+Formulas=Sheet7,Sheet1,Sheet2</t>
  </si>
  <si>
    <t>Auto+Hide+Values+Formulas=Sheet7,Sheet1,Sheet2+FormulasOnly</t>
  </si>
  <si>
    <t>Auto+Hide+Formulas=Sheet8,Sheet3,Sheet4</t>
  </si>
  <si>
    <t>Auto+Hide+Formulas=Sheet8,Sheet3,Sheet4+FormulasOnly</t>
  </si>
  <si>
    <t>Auto+Hide+Values+Formulas=Sheet9,Sheet5,Sheet6</t>
  </si>
  <si>
    <t>Auto+Hide+Values+Formulas=Sheet9,Sheet5,Sheet6+FormulasOnly</t>
  </si>
  <si>
    <t>CN</t>
  </si>
  <si>
    <t>9405209100</t>
  </si>
  <si>
    <t>5060441507921</t>
  </si>
  <si>
    <t>IN</t>
  </si>
  <si>
    <t>9405409990</t>
  </si>
  <si>
    <t>5060441509598</t>
  </si>
  <si>
    <t>5060441506993</t>
  </si>
  <si>
    <t>5060441507938</t>
  </si>
  <si>
    <t>9405209990</t>
  </si>
  <si>
    <t>5060441507914</t>
  </si>
  <si>
    <t>5060441507051</t>
  </si>
  <si>
    <t>5060441508447</t>
  </si>
  <si>
    <t>5060441508430</t>
  </si>
  <si>
    <t>9405109890</t>
  </si>
  <si>
    <t>5060441506856</t>
  </si>
  <si>
    <t>5060441508300</t>
  </si>
  <si>
    <t>5060441506870</t>
  </si>
  <si>
    <t>5060441506863</t>
  </si>
  <si>
    <t>5060441506887</t>
  </si>
  <si>
    <t>5060278459592</t>
  </si>
  <si>
    <t>5060441506894</t>
  </si>
  <si>
    <t>5060441506917</t>
  </si>
  <si>
    <t>5060441506900</t>
  </si>
  <si>
    <t>5060441506962</t>
  </si>
  <si>
    <t>5055998511316</t>
  </si>
  <si>
    <t>5060441506924</t>
  </si>
  <si>
    <t>5060441506832</t>
  </si>
  <si>
    <t>5060441506818</t>
  </si>
  <si>
    <t>5060441506825</t>
  </si>
  <si>
    <t>5060441506849</t>
  </si>
  <si>
    <t>5060441506955</t>
  </si>
  <si>
    <t>5060441508317</t>
  </si>
  <si>
    <t>5060441506931</t>
  </si>
  <si>
    <t>5060441506948</t>
  </si>
  <si>
    <t>5055998510098</t>
  </si>
  <si>
    <t>5055998510074</t>
  </si>
  <si>
    <t>5060441508461</t>
  </si>
  <si>
    <t>5060441508454</t>
  </si>
  <si>
    <t>5060441508478</t>
  </si>
  <si>
    <t>5056194401340</t>
  </si>
  <si>
    <t>5055998500754</t>
  </si>
  <si>
    <t>5060441508423</t>
  </si>
  <si>
    <t>5055998500747</t>
  </si>
  <si>
    <t>5056194400053</t>
  </si>
  <si>
    <t>5056194400077</t>
  </si>
  <si>
    <t>5056194400060</t>
  </si>
  <si>
    <t>5055998512979</t>
  </si>
  <si>
    <t>5055998512993</t>
  </si>
  <si>
    <t>DE</t>
  </si>
  <si>
    <t>5055998501218</t>
  </si>
  <si>
    <t>5056194400244</t>
  </si>
  <si>
    <t>5056194400541</t>
  </si>
  <si>
    <t>5056194400602</t>
  </si>
  <si>
    <t>5055998501225</t>
  </si>
  <si>
    <t>5056194400251</t>
  </si>
  <si>
    <t>5056194400558</t>
  </si>
  <si>
    <t>5056194400619</t>
  </si>
  <si>
    <t>5055998501195</t>
  </si>
  <si>
    <t>5056194400268</t>
  </si>
  <si>
    <t>5056194400565</t>
  </si>
  <si>
    <t>5056194400626</t>
  </si>
  <si>
    <t>5056194400831</t>
  </si>
  <si>
    <t>5056194400824</t>
  </si>
  <si>
    <t>9405102190</t>
  </si>
  <si>
    <t>5055998510906</t>
  </si>
  <si>
    <t>5055998510920</t>
  </si>
  <si>
    <t>5056194400374</t>
  </si>
  <si>
    <t>5056194400367</t>
  </si>
  <si>
    <t>5055998510968</t>
  </si>
  <si>
    <t>5055998510982</t>
  </si>
  <si>
    <t>5056194400763</t>
  </si>
  <si>
    <t>5056194401043</t>
  </si>
  <si>
    <t>5056194400343</t>
  </si>
  <si>
    <t>5056194401067</t>
  </si>
  <si>
    <t>5055998502468</t>
  </si>
  <si>
    <t>5055998502499</t>
  </si>
  <si>
    <t>5055998502451</t>
  </si>
  <si>
    <t>5055998502437</t>
  </si>
  <si>
    <t>5055998502444</t>
  </si>
  <si>
    <t>5055998502482</t>
  </si>
  <si>
    <t>5055998502475</t>
  </si>
  <si>
    <t>FI</t>
  </si>
  <si>
    <t>56021019</t>
  </si>
  <si>
    <t>5060441507235</t>
  </si>
  <si>
    <t>5060278459547</t>
  </si>
  <si>
    <t>5055998506411</t>
  </si>
  <si>
    <t>5055998506428</t>
  </si>
  <si>
    <t>5055998506435</t>
  </si>
  <si>
    <t>5056194400015</t>
  </si>
  <si>
    <t>5056194400466</t>
  </si>
  <si>
    <t>5055998506442</t>
  </si>
  <si>
    <t>5055998506459</t>
  </si>
  <si>
    <t>5055998506466</t>
  </si>
  <si>
    <t>5056194400022</t>
  </si>
  <si>
    <t>5056194400473</t>
  </si>
  <si>
    <t>5056194400725</t>
  </si>
  <si>
    <t>5056194400985</t>
  </si>
  <si>
    <t>5056194401005</t>
  </si>
  <si>
    <t>5056194400992</t>
  </si>
  <si>
    <t>5056194400329</t>
  </si>
  <si>
    <t>5055998508934</t>
  </si>
  <si>
    <t>5055998508941</t>
  </si>
  <si>
    <t>5055998508958</t>
  </si>
  <si>
    <t>5055998509016</t>
  </si>
  <si>
    <t>5055998509009</t>
  </si>
  <si>
    <t>5055998508996</t>
  </si>
  <si>
    <t>5056194400428</t>
  </si>
  <si>
    <t>5056194400411</t>
  </si>
  <si>
    <t>5056194400404</t>
  </si>
  <si>
    <t>5060441508805</t>
  </si>
  <si>
    <t>5060441508829</t>
  </si>
  <si>
    <t>5055998500273</t>
  </si>
  <si>
    <t>5055998506374</t>
  </si>
  <si>
    <t>5056194400862</t>
  </si>
  <si>
    <t>5056194401296</t>
  </si>
  <si>
    <t>5056194400879</t>
  </si>
  <si>
    <t>5056194401210</t>
  </si>
  <si>
    <t>5056194400886</t>
  </si>
  <si>
    <t>5056194401258</t>
  </si>
  <si>
    <t>5056194401135</t>
  </si>
  <si>
    <t>8306290000</t>
  </si>
  <si>
    <t>5056194401098</t>
  </si>
  <si>
    <t>5056194401173</t>
  </si>
  <si>
    <t>5055998511989</t>
  </si>
  <si>
    <t>94054099</t>
  </si>
  <si>
    <t>5060441507730</t>
  </si>
  <si>
    <t>5060441507761</t>
  </si>
  <si>
    <t>5060441507747</t>
  </si>
  <si>
    <t>5060441507778</t>
  </si>
  <si>
    <t>5060441507754</t>
  </si>
  <si>
    <t>5060441507785</t>
  </si>
  <si>
    <t>5055998508910</t>
  </si>
  <si>
    <t>7323990090</t>
  </si>
  <si>
    <t>5056194401357</t>
  </si>
  <si>
    <t>5060441507501</t>
  </si>
  <si>
    <t>5060441507532</t>
  </si>
  <si>
    <t>5055998508880</t>
  </si>
  <si>
    <t>5060441507419</t>
  </si>
  <si>
    <t>5060441507440</t>
  </si>
  <si>
    <t>5060441507471</t>
  </si>
  <si>
    <t>5055998501416</t>
  </si>
  <si>
    <t>9403601000</t>
  </si>
  <si>
    <t>5060441508836</t>
  </si>
  <si>
    <t>LT</t>
  </si>
  <si>
    <t>9401690000</t>
  </si>
  <si>
    <t>5060441507174</t>
  </si>
  <si>
    <t>5060441507150</t>
  </si>
  <si>
    <t>5060441507167</t>
  </si>
  <si>
    <t>9403208090</t>
  </si>
  <si>
    <t>5060441507211</t>
  </si>
  <si>
    <t>5060441507952</t>
  </si>
  <si>
    <t>5060441507204</t>
  </si>
  <si>
    <t>5060441507945</t>
  </si>
  <si>
    <t>5060441507228</t>
  </si>
  <si>
    <t>5060441507969</t>
  </si>
  <si>
    <t>5060441508713</t>
  </si>
  <si>
    <t>5060441507389</t>
  </si>
  <si>
    <t>9403901090</t>
  </si>
  <si>
    <t>5060441508041</t>
  </si>
  <si>
    <t>5055998506572</t>
  </si>
  <si>
    <t>PL</t>
  </si>
  <si>
    <t>5055998508903</t>
  </si>
  <si>
    <t>5060441507792</t>
  </si>
  <si>
    <t>5060441508362</t>
  </si>
  <si>
    <t>5060441508386</t>
  </si>
  <si>
    <t>5055998507005</t>
  </si>
  <si>
    <t>5055998507012</t>
  </si>
  <si>
    <t>5055998507029</t>
  </si>
  <si>
    <t>9403601090</t>
  </si>
  <si>
    <t>5056194300407</t>
  </si>
  <si>
    <t>5055998506404</t>
  </si>
  <si>
    <t>5055998506558</t>
  </si>
  <si>
    <t>5055998506565</t>
  </si>
  <si>
    <t>5055998506541</t>
  </si>
  <si>
    <t>5055998505902</t>
  </si>
  <si>
    <t>5060441508980</t>
  </si>
  <si>
    <t>5060441508898</t>
  </si>
  <si>
    <t>5060441508904</t>
  </si>
  <si>
    <t>DK</t>
  </si>
  <si>
    <t>5060441509789</t>
  </si>
  <si>
    <t>GB</t>
  </si>
  <si>
    <t>5056194300872</t>
  </si>
  <si>
    <t>5056194300889</t>
  </si>
  <si>
    <t>9403909090</t>
  </si>
  <si>
    <t>5055998506770</t>
  </si>
  <si>
    <t>5055998506749</t>
  </si>
  <si>
    <t>5056194300353</t>
  </si>
  <si>
    <t>5056194300049</t>
  </si>
  <si>
    <t>5055998506787</t>
  </si>
  <si>
    <t>5055998506756</t>
  </si>
  <si>
    <t>5055998506947</t>
  </si>
  <si>
    <t>5055998506886</t>
  </si>
  <si>
    <t>5055998506916</t>
  </si>
  <si>
    <t>5055998506893</t>
  </si>
  <si>
    <t>5055998506992</t>
  </si>
  <si>
    <t>5055998506961</t>
  </si>
  <si>
    <t>5055998506909</t>
  </si>
  <si>
    <t>5055998506930</t>
  </si>
  <si>
    <t>5055998506985</t>
  </si>
  <si>
    <t>5055998506954</t>
  </si>
  <si>
    <t>5055998506923</t>
  </si>
  <si>
    <t>5060441508195</t>
  </si>
  <si>
    <t>5060441507631</t>
  </si>
  <si>
    <t>5060441508409</t>
  </si>
  <si>
    <t>9401710000</t>
  </si>
  <si>
    <t>5055998501942</t>
  </si>
  <si>
    <t>5055998501959</t>
  </si>
  <si>
    <t>5060441507723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</si>
</sst>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_-[$£-809]* #,##0.00_-;\-[$£-809]* #,##0.00_-;_-[$£-809]* &quot;-&quot;??_-;_-@_-"/>
    <numFmt numFmtId="166" formatCode="_-[$€-2]\ * #,##0.00_-;\-[$€-2]\ * #,##0.00_-;_-[$€-2]\ * &quot;-&quot;??_-;_-@_-"/>
    <numFmt numFmtId="167" formatCode="_-[$€-2]\ * #,##0.00_ ;_-[$€-2]\ * \-#,##0.00\ ;_-[$€-2]\ * &quot;-&quot;??_ ;_-@_ 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theme="1"/>
      <name val="BrownStd"/>
      <family val="3"/>
    </font>
    <font>
      <sz val="12"/>
      <color theme="1"/>
      <name val="BrownStd"/>
      <family val="3"/>
    </font>
    <font>
      <b/>
      <sz val="11"/>
      <color theme="1"/>
      <name val="BrownStd"/>
      <family val="3"/>
    </font>
    <font>
      <sz val="10"/>
      <name val="Arial"/>
      <family val="2"/>
    </font>
    <font>
      <sz val="11"/>
      <name val="BrownStd"/>
      <family val="3"/>
    </font>
    <font>
      <sz val="11"/>
      <color rgb="FF000000"/>
      <name val="BrownStd"/>
      <family val="3"/>
    </font>
    <font>
      <sz val="11"/>
      <color rgb="FF000000"/>
      <name val="Calibri"/>
      <family val="2"/>
    </font>
    <font>
      <sz val="12"/>
      <name val="BrownStd"/>
      <family val="3"/>
    </font>
    <font>
      <sz val="11"/>
      <name val="DIN-Regular"/>
    </font>
    <font>
      <b/>
      <sz val="12"/>
      <color theme="1"/>
      <name val="BrownStd"/>
    </font>
    <font>
      <b/>
      <sz val="11"/>
      <color theme="1"/>
      <name val="BrownStd"/>
    </font>
  </fonts>
  <fills count="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FFFFF"/>
        <bgColor rgb="FF000000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0" fontId="2" fillId="2" borderId="1" applyNumberFormat="0" applyAlignment="0" applyProtection="0"/>
    <xf numFmtId="0" fontId="6" fillId="0" borderId="0"/>
    <xf numFmtId="0" fontId="9" fillId="0" borderId="0" applyNumberFormat="0" applyFill="0" applyBorder="0" applyProtection="0"/>
    <xf numFmtId="0" fontId="1" fillId="0" borderId="0"/>
    <xf numFmtId="0" fontId="11" fillId="0" borderId="0"/>
    <xf numFmtId="0" fontId="1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53">
    <xf numFmtId="0" fontId="0" fillId="0" borderId="0" xfId="0"/>
    <xf numFmtId="0" fontId="3" fillId="0" borderId="0" xfId="0" applyFont="1" applyFill="1"/>
    <xf numFmtId="49" fontId="4" fillId="0" borderId="0" xfId="0" quotePrefix="1" applyNumberFormat="1" applyFont="1" applyFill="1"/>
    <xf numFmtId="165" fontId="3" fillId="0" borderId="0" xfId="0" applyNumberFormat="1" applyFont="1" applyFill="1"/>
    <xf numFmtId="1" fontId="3" fillId="0" borderId="0" xfId="0" applyNumberFormat="1" applyFont="1" applyFill="1" applyAlignment="1">
      <alignment horizontal="center"/>
    </xf>
    <xf numFmtId="0" fontId="3" fillId="0" borderId="2" xfId="0" applyFont="1" applyFill="1" applyBorder="1"/>
    <xf numFmtId="165" fontId="3" fillId="0" borderId="2" xfId="0" applyNumberFormat="1" applyFont="1" applyFill="1" applyBorder="1"/>
    <xf numFmtId="1" fontId="3" fillId="0" borderId="2" xfId="0" applyNumberFormat="1" applyFont="1" applyFill="1" applyBorder="1" applyAlignment="1">
      <alignment horizontal="center"/>
    </xf>
    <xf numFmtId="165" fontId="0" fillId="0" borderId="0" xfId="0" applyNumberFormat="1"/>
    <xf numFmtId="0" fontId="3" fillId="0" borderId="0" xfId="0" applyFont="1" applyFill="1" applyBorder="1"/>
    <xf numFmtId="165" fontId="3" fillId="0" borderId="0" xfId="0" applyNumberFormat="1" applyFont="1" applyFill="1" applyBorder="1"/>
    <xf numFmtId="1" fontId="3" fillId="0" borderId="0" xfId="0" applyNumberFormat="1" applyFont="1" applyFill="1" applyBorder="1" applyAlignment="1">
      <alignment horizontal="center"/>
    </xf>
    <xf numFmtId="0" fontId="0" fillId="0" borderId="0" xfId="0" applyBorder="1"/>
    <xf numFmtId="0" fontId="5" fillId="0" borderId="0" xfId="0" applyFont="1" applyFill="1" applyBorder="1"/>
    <xf numFmtId="165" fontId="2" fillId="0" borderId="1" xfId="1" applyNumberFormat="1" applyFill="1"/>
    <xf numFmtId="0" fontId="0" fillId="0" borderId="0" xfId="0" applyFill="1"/>
    <xf numFmtId="0" fontId="3" fillId="0" borderId="0" xfId="0" applyFont="1"/>
    <xf numFmtId="17" fontId="3" fillId="0" borderId="0" xfId="0" quotePrefix="1" applyNumberFormat="1" applyFont="1"/>
    <xf numFmtId="0" fontId="3" fillId="0" borderId="2" xfId="0" applyFont="1" applyBorder="1"/>
    <xf numFmtId="0" fontId="3" fillId="0" borderId="2" xfId="0" applyFont="1" applyBorder="1" applyAlignment="1">
      <alignment horizontal="center"/>
    </xf>
    <xf numFmtId="0" fontId="7" fillId="3" borderId="2" xfId="2" applyNumberFormat="1" applyFont="1" applyFill="1" applyBorder="1" applyAlignment="1" applyProtection="1">
      <alignment vertical="top" wrapText="1"/>
    </xf>
    <xf numFmtId="0" fontId="7" fillId="3" borderId="3" xfId="2" applyNumberFormat="1" applyFont="1" applyFill="1" applyBorder="1" applyAlignment="1" applyProtection="1">
      <alignment vertical="top" wrapText="1"/>
    </xf>
    <xf numFmtId="0" fontId="8" fillId="3" borderId="2" xfId="2" applyNumberFormat="1" applyFont="1" applyFill="1" applyBorder="1" applyAlignment="1" applyProtection="1">
      <alignment vertical="top" wrapText="1"/>
    </xf>
    <xf numFmtId="0" fontId="8" fillId="0" borderId="2" xfId="0" applyFont="1" applyFill="1" applyBorder="1"/>
    <xf numFmtId="0" fontId="5" fillId="0" borderId="2" xfId="0" applyFont="1" applyBorder="1" applyAlignment="1">
      <alignment horizontal="center" wrapText="1"/>
    </xf>
    <xf numFmtId="0" fontId="5" fillId="0" borderId="2" xfId="0" applyFont="1" applyBorder="1" applyAlignment="1">
      <alignment wrapText="1"/>
    </xf>
    <xf numFmtId="0" fontId="5" fillId="0" borderId="2" xfId="0" applyFont="1" applyBorder="1"/>
    <xf numFmtId="0" fontId="5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  <xf numFmtId="165" fontId="3" fillId="0" borderId="0" xfId="0" applyNumberFormat="1" applyFont="1"/>
    <xf numFmtId="17" fontId="4" fillId="0" borderId="0" xfId="0" quotePrefix="1" applyNumberFormat="1" applyFont="1"/>
    <xf numFmtId="0" fontId="3" fillId="0" borderId="0" xfId="0" applyFont="1"/>
    <xf numFmtId="165" fontId="3" fillId="0" borderId="0" xfId="0" applyNumberFormat="1" applyFont="1"/>
    <xf numFmtId="0" fontId="5" fillId="0" borderId="2" xfId="0" applyFont="1" applyBorder="1"/>
    <xf numFmtId="0" fontId="3" fillId="0" borderId="2" xfId="0" applyFont="1" applyBorder="1"/>
    <xf numFmtId="0" fontId="10" fillId="0" borderId="2" xfId="0" applyFont="1" applyFill="1" applyBorder="1" applyAlignment="1" applyProtection="1">
      <alignment horizontal="left" vertical="center"/>
    </xf>
    <xf numFmtId="0" fontId="5" fillId="0" borderId="0" xfId="0" applyFont="1" applyFill="1"/>
    <xf numFmtId="0" fontId="5" fillId="0" borderId="2" xfId="0" applyFont="1" applyFill="1" applyBorder="1" applyAlignment="1">
      <alignment wrapText="1"/>
    </xf>
    <xf numFmtId="165" fontId="5" fillId="0" borderId="2" xfId="0" applyNumberFormat="1" applyFont="1" applyFill="1" applyBorder="1" applyAlignment="1">
      <alignment wrapText="1"/>
    </xf>
    <xf numFmtId="1" fontId="5" fillId="0" borderId="2" xfId="0" applyNumberFormat="1" applyFont="1" applyFill="1" applyBorder="1" applyAlignment="1">
      <alignment horizontal="center" wrapText="1"/>
    </xf>
    <xf numFmtId="0" fontId="5" fillId="0" borderId="2" xfId="0" applyFont="1" applyFill="1" applyBorder="1" applyAlignment="1">
      <alignment horizontal="center" wrapText="1"/>
    </xf>
    <xf numFmtId="2" fontId="3" fillId="0" borderId="2" xfId="0" applyNumberFormat="1" applyFont="1" applyBorder="1"/>
    <xf numFmtId="166" fontId="3" fillId="0" borderId="2" xfId="0" applyNumberFormat="1" applyFont="1" applyFill="1" applyBorder="1"/>
    <xf numFmtId="166" fontId="3" fillId="0" borderId="2" xfId="0" applyNumberFormat="1" applyFont="1" applyBorder="1"/>
    <xf numFmtId="165" fontId="5" fillId="0" borderId="2" xfId="0" applyNumberFormat="1" applyFont="1" applyBorder="1" applyAlignment="1">
      <alignment wrapText="1"/>
    </xf>
    <xf numFmtId="167" fontId="3" fillId="0" borderId="2" xfId="0" applyNumberFormat="1" applyFont="1" applyBorder="1"/>
    <xf numFmtId="0" fontId="0" fillId="0" borderId="0" xfId="0" quotePrefix="1"/>
    <xf numFmtId="0" fontId="5" fillId="0" borderId="2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12" fillId="0" borderId="0" xfId="0" applyFont="1"/>
    <xf numFmtId="0" fontId="13" fillId="0" borderId="0" xfId="0" applyFont="1"/>
    <xf numFmtId="0" fontId="12" fillId="0" borderId="0" xfId="0" applyFont="1" applyFill="1"/>
  </cellXfs>
  <cellStyles count="9">
    <cellStyle name="Berechnung" xfId="1" builtinId="22"/>
    <cellStyle name="Comma 2" xfId="7" xr:uid="{B0695347-5931-403E-88D2-BAC0B68091DD}"/>
    <cellStyle name="Comma 3" xfId="8" xr:uid="{9E5A1694-0AE1-42BE-8BEF-C24343CA708E}"/>
    <cellStyle name="Normal 11" xfId="6" xr:uid="{C26A7FFE-D762-45BE-AFFD-5F2B7B3A345D}"/>
    <cellStyle name="Normal 16" xfId="5" xr:uid="{5F835BD6-3E45-42F4-B58F-77A825777952}"/>
    <cellStyle name="Normal 2" xfId="3" xr:uid="{8BF8D805-8926-45BC-A09E-64A535432B98}"/>
    <cellStyle name="Normal 3" xfId="2" xr:uid="{2C6139EB-1EC1-4152-95B3-144F1B0B0D71}"/>
    <cellStyle name="Normal 3 2" xfId="4" xr:uid="{C0672BC7-E2D2-4634-9B42-E56B8418A03D}"/>
    <cellStyle name="Standard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3E39A1-74A2-46EF-999B-49232BDCA04F}">
  <dimension ref="A1:R463"/>
  <sheetViews>
    <sheetView showGridLines="0" tabSelected="1" topLeftCell="B2" workbookViewId="0">
      <pane ySplit="6" topLeftCell="A8" activePane="bottomLeft" state="frozen"/>
      <selection activeCell="B2" sqref="B2"/>
      <selection pane="bottomLeft" activeCell="B8" sqref="A8:XFD8"/>
    </sheetView>
  </sheetViews>
  <sheetFormatPr baseColWidth="10" defaultColWidth="9.140625" defaultRowHeight="15" outlineLevelRow="1"/>
  <cols>
    <col min="1" max="1" width="9.140625" hidden="1" customWidth="1"/>
    <col min="2" max="2" width="20" bestFit="1" customWidth="1"/>
    <col min="3" max="3" width="36.140625" bestFit="1" customWidth="1"/>
    <col min="4" max="4" width="20" customWidth="1"/>
    <col min="5" max="5" width="18.42578125" bestFit="1" customWidth="1"/>
    <col min="6" max="6" width="33.5703125" bestFit="1" customWidth="1"/>
    <col min="7" max="7" width="18.85546875" bestFit="1" customWidth="1"/>
    <col min="8" max="8" width="8.7109375" bestFit="1" customWidth="1"/>
    <col min="9" max="12" width="7.42578125" bestFit="1" customWidth="1"/>
    <col min="13" max="13" width="9.85546875" bestFit="1" customWidth="1"/>
    <col min="14" max="14" width="13.42578125" bestFit="1" customWidth="1"/>
    <col min="15" max="15" width="16.85546875" bestFit="1" customWidth="1"/>
    <col min="16" max="16" width="13" bestFit="1" customWidth="1"/>
    <col min="17" max="17" width="10.5703125" bestFit="1" customWidth="1"/>
  </cols>
  <sheetData>
    <row r="1" spans="1:16" s="1" customFormat="1" hidden="1">
      <c r="A1" s="1" t="s">
        <v>6152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  <c r="M1" s="1" t="s">
        <v>0</v>
      </c>
      <c r="N1" s="1" t="s">
        <v>0</v>
      </c>
      <c r="O1" s="1" t="s">
        <v>0</v>
      </c>
    </row>
    <row r="2" spans="1:16" s="1" customFormat="1" ht="15.75">
      <c r="B2" s="2" t="s">
        <v>1039</v>
      </c>
      <c r="D2" s="3"/>
      <c r="G2" s="3"/>
      <c r="H2" s="4"/>
    </row>
    <row r="3" spans="1:16" s="1" customFormat="1" ht="15.75">
      <c r="B3" s="52" t="s">
        <v>1</v>
      </c>
      <c r="D3" s="3"/>
      <c r="G3" s="3"/>
      <c r="H3" s="4"/>
    </row>
    <row r="4" spans="1:16" s="1" customFormat="1" ht="15.75">
      <c r="D4" s="3"/>
      <c r="G4" s="3"/>
      <c r="H4" s="4"/>
      <c r="I4" s="47" t="s">
        <v>2</v>
      </c>
      <c r="J4" s="47"/>
      <c r="K4" s="47"/>
      <c r="L4" s="47"/>
    </row>
    <row r="5" spans="1:16" s="36" customFormat="1" ht="32.1" customHeight="1">
      <c r="B5" s="37" t="s">
        <v>3</v>
      </c>
      <c r="C5" s="37" t="s">
        <v>4</v>
      </c>
      <c r="D5" s="38" t="s">
        <v>1040</v>
      </c>
      <c r="E5" s="37" t="s">
        <v>5</v>
      </c>
      <c r="F5" s="37"/>
      <c r="G5" s="38" t="s">
        <v>1041</v>
      </c>
      <c r="H5" s="39" t="s">
        <v>6</v>
      </c>
      <c r="I5" s="40" t="s">
        <v>7</v>
      </c>
      <c r="J5" s="40" t="s">
        <v>8</v>
      </c>
      <c r="K5" s="40" t="s">
        <v>9</v>
      </c>
      <c r="L5" s="40" t="s">
        <v>10</v>
      </c>
      <c r="M5" s="40" t="s">
        <v>11</v>
      </c>
      <c r="N5" s="40" t="s">
        <v>12</v>
      </c>
      <c r="O5" s="40" t="s">
        <v>13</v>
      </c>
    </row>
    <row r="6" spans="1:16" hidden="1" outlineLevel="1">
      <c r="B6" s="5" t="s">
        <v>14</v>
      </c>
      <c r="C6" s="5" t="str">
        <f>"Base Brass Floor EU"</f>
        <v>Base Brass Floor EU</v>
      </c>
      <c r="D6" s="42">
        <f>1040</f>
        <v>1040</v>
      </c>
      <c r="E6" s="5" t="s">
        <v>15</v>
      </c>
      <c r="F6" s="5" t="str">
        <f>IF($E6="","","Base Light; Floor Fitting EU")</f>
        <v>Base Light; Floor Fitting EU</v>
      </c>
      <c r="G6" s="42">
        <f>IF($E6="","",400)</f>
        <v>400</v>
      </c>
      <c r="H6" s="7">
        <f>IF(E6="","",1)</f>
        <v>1</v>
      </c>
      <c r="I6" s="5">
        <v>1.52</v>
      </c>
      <c r="J6" s="5">
        <v>0.34</v>
      </c>
      <c r="K6" s="5">
        <v>0.34</v>
      </c>
      <c r="L6" s="5">
        <v>11.32</v>
      </c>
      <c r="M6" s="5" t="s">
        <v>6158</v>
      </c>
      <c r="N6" s="5" t="s">
        <v>6159</v>
      </c>
      <c r="O6" s="5" t="s">
        <v>6160</v>
      </c>
    </row>
    <row r="7" spans="1:16" hidden="1" outlineLevel="1">
      <c r="B7" s="5" t="s">
        <v>14</v>
      </c>
      <c r="C7" s="5" t="str">
        <f>"Base Brass Floor EU"</f>
        <v>Base Brass Floor EU</v>
      </c>
      <c r="D7" s="42">
        <f>1040</f>
        <v>1040</v>
      </c>
      <c r="E7" s="5" t="s">
        <v>16</v>
      </c>
      <c r="F7" s="5" t="str">
        <f>IF($E7="","","Base Shade; Large")</f>
        <v>Base Shade; Large</v>
      </c>
      <c r="G7" s="42">
        <f>IF($E7="","",640)</f>
        <v>640</v>
      </c>
      <c r="H7" s="7">
        <f>IF(E7="","",1)</f>
        <v>1</v>
      </c>
      <c r="I7" s="5">
        <v>0.33</v>
      </c>
      <c r="J7" s="5">
        <v>0.55000000000000004</v>
      </c>
      <c r="K7" s="5">
        <v>0.55000000000000004</v>
      </c>
      <c r="L7" s="5">
        <v>6.5</v>
      </c>
      <c r="M7" s="5" t="s">
        <v>6161</v>
      </c>
      <c r="N7" s="5" t="s">
        <v>6162</v>
      </c>
      <c r="O7" s="5" t="s">
        <v>6163</v>
      </c>
    </row>
    <row r="8" spans="1:16" collapsed="1">
      <c r="B8" s="5" t="s">
        <v>14</v>
      </c>
      <c r="C8" s="5" t="str">
        <f>"Base Brass Floor EU"</f>
        <v>Base Brass Floor EU</v>
      </c>
      <c r="D8" s="42">
        <f>1040</f>
        <v>1040</v>
      </c>
      <c r="E8" s="5"/>
      <c r="F8" s="5"/>
      <c r="G8" s="42"/>
      <c r="H8" s="7"/>
      <c r="I8" s="5"/>
      <c r="J8" s="5"/>
      <c r="K8" s="5"/>
      <c r="L8" s="5"/>
      <c r="M8" s="5"/>
      <c r="N8" s="5"/>
      <c r="O8" s="5" t="s">
        <v>1039</v>
      </c>
      <c r="P8" s="3"/>
    </row>
    <row r="9" spans="1:16" hidden="1" outlineLevel="1">
      <c r="B9" s="5" t="s">
        <v>17</v>
      </c>
      <c r="C9" s="5" t="str">
        <f>"Base Brass Table EU"</f>
        <v>Base Brass Table EU</v>
      </c>
      <c r="D9" s="42">
        <f>460</f>
        <v>460</v>
      </c>
      <c r="E9" s="5" t="s">
        <v>18</v>
      </c>
      <c r="F9" s="5" t="str">
        <f>IF($E9="","","Base Shade; Small")</f>
        <v>Base Shade; Small</v>
      </c>
      <c r="G9" s="42">
        <f>IF($E9="","",260)</f>
        <v>260</v>
      </c>
      <c r="H9" s="7">
        <f>IF(E9="","",1)</f>
        <v>1</v>
      </c>
      <c r="I9" s="5">
        <v>0.32</v>
      </c>
      <c r="J9" s="5">
        <v>0.32</v>
      </c>
      <c r="K9" s="5">
        <v>0.28000000000000003</v>
      </c>
      <c r="L9" s="5">
        <v>3.35</v>
      </c>
      <c r="M9" s="5" t="s">
        <v>6161</v>
      </c>
      <c r="N9" s="5" t="s">
        <v>6162</v>
      </c>
      <c r="O9" s="5" t="s">
        <v>6164</v>
      </c>
    </row>
    <row r="10" spans="1:16" hidden="1" outlineLevel="1">
      <c r="B10" s="5" t="s">
        <v>17</v>
      </c>
      <c r="C10" s="5" t="str">
        <f>"Base Brass Table EU"</f>
        <v>Base Brass Table EU</v>
      </c>
      <c r="D10" s="42">
        <f>460</f>
        <v>460</v>
      </c>
      <c r="E10" s="5" t="s">
        <v>19</v>
      </c>
      <c r="F10" s="5" t="str">
        <f>IF($E10="","","Base Light; Table stand EU")</f>
        <v>Base Light; Table stand EU</v>
      </c>
      <c r="G10" s="42">
        <f>IF($E10="","",200)</f>
        <v>200</v>
      </c>
      <c r="H10" s="7">
        <f>IF(E10="","",1)</f>
        <v>1</v>
      </c>
      <c r="I10" s="5">
        <v>0.3</v>
      </c>
      <c r="J10" s="5">
        <v>0.2</v>
      </c>
      <c r="K10" s="5">
        <v>0.2</v>
      </c>
      <c r="L10" s="5">
        <v>2.39</v>
      </c>
      <c r="M10" s="5" t="s">
        <v>6158</v>
      </c>
      <c r="N10" s="5" t="s">
        <v>6159</v>
      </c>
      <c r="O10" s="5" t="s">
        <v>6165</v>
      </c>
    </row>
    <row r="11" spans="1:16" collapsed="1">
      <c r="B11" s="5" t="s">
        <v>17</v>
      </c>
      <c r="C11" s="5" t="str">
        <f>"Base Brass Table EU"</f>
        <v>Base Brass Table EU</v>
      </c>
      <c r="D11" s="42">
        <f>460</f>
        <v>460</v>
      </c>
      <c r="E11" s="5"/>
      <c r="F11" s="5"/>
      <c r="G11" s="42"/>
      <c r="H11" s="7"/>
      <c r="I11" s="5"/>
      <c r="J11" s="5"/>
      <c r="K11" s="5"/>
      <c r="L11" s="5"/>
      <c r="M11" s="5"/>
      <c r="N11" s="5"/>
      <c r="O11" s="5" t="s">
        <v>1039</v>
      </c>
      <c r="P11" s="3"/>
    </row>
    <row r="12" spans="1:16" hidden="1" outlineLevel="1">
      <c r="B12" s="5" t="s">
        <v>20</v>
      </c>
      <c r="C12" s="5" t="str">
        <f>"Base Brass Wall EU"</f>
        <v>Base Brass Wall EU</v>
      </c>
      <c r="D12" s="42">
        <f>675</f>
        <v>675</v>
      </c>
      <c r="E12" s="5" t="s">
        <v>21</v>
      </c>
      <c r="F12" s="5" t="str">
        <f>IF($E12="","","Base Light; Wall Light")</f>
        <v>Base Light; Wall Light</v>
      </c>
      <c r="G12" s="42">
        <f>IF($E12="","",320)</f>
        <v>320</v>
      </c>
      <c r="H12" s="7">
        <f>IF(E12="","",1)</f>
        <v>1</v>
      </c>
      <c r="I12" s="5">
        <v>0.15</v>
      </c>
      <c r="J12" s="5">
        <v>0.3</v>
      </c>
      <c r="K12" s="5">
        <v>0.46</v>
      </c>
      <c r="L12" s="5">
        <v>3.5</v>
      </c>
      <c r="M12" s="5" t="s">
        <v>6158</v>
      </c>
      <c r="N12" s="5" t="s">
        <v>6166</v>
      </c>
      <c r="O12" s="5" t="s">
        <v>6167</v>
      </c>
    </row>
    <row r="13" spans="1:16" hidden="1" outlineLevel="1">
      <c r="B13" s="5" t="s">
        <v>20</v>
      </c>
      <c r="C13" s="5" t="str">
        <f>"Base Brass Wall EU"</f>
        <v>Base Brass Wall EU</v>
      </c>
      <c r="D13" s="42">
        <f>675</f>
        <v>675</v>
      </c>
      <c r="E13" s="5" t="s">
        <v>22</v>
      </c>
      <c r="F13" s="5" t="str">
        <f>IF($E13="","","Base Shade Wall x2")</f>
        <v>Base Shade Wall x2</v>
      </c>
      <c r="G13" s="42">
        <f>IF($E13="","",355)</f>
        <v>355</v>
      </c>
      <c r="H13" s="7">
        <f>IF(E13="","",1)</f>
        <v>1</v>
      </c>
      <c r="I13" s="5">
        <v>0.26</v>
      </c>
      <c r="J13" s="5">
        <v>0.26</v>
      </c>
      <c r="K13" s="5">
        <v>0.28999999999999998</v>
      </c>
      <c r="L13" s="5">
        <v>2.7</v>
      </c>
      <c r="M13" s="5" t="s">
        <v>6161</v>
      </c>
      <c r="N13" s="5" t="s">
        <v>6166</v>
      </c>
      <c r="O13" s="5" t="s">
        <v>6168</v>
      </c>
    </row>
    <row r="14" spans="1:16" collapsed="1">
      <c r="B14" s="5" t="s">
        <v>20</v>
      </c>
      <c r="C14" s="5" t="str">
        <f>"Base Brass Wall EU"</f>
        <v>Base Brass Wall EU</v>
      </c>
      <c r="D14" s="42">
        <f>675</f>
        <v>675</v>
      </c>
      <c r="E14" s="5"/>
      <c r="F14" s="5"/>
      <c r="G14" s="42"/>
      <c r="H14" s="7"/>
      <c r="I14" s="5"/>
      <c r="J14" s="5"/>
      <c r="K14" s="5"/>
      <c r="L14" s="5"/>
      <c r="M14" s="5"/>
      <c r="N14" s="5"/>
      <c r="O14" s="5" t="s">
        <v>1039</v>
      </c>
      <c r="P14" s="3"/>
    </row>
    <row r="15" spans="1:16">
      <c r="B15" s="5" t="s">
        <v>23</v>
      </c>
      <c r="C15" s="5" t="str">
        <f>"Beat Floor Black EU"</f>
        <v>Beat Floor Black EU</v>
      </c>
      <c r="D15" s="42">
        <f>825</f>
        <v>825</v>
      </c>
      <c r="E15" s="5"/>
      <c r="F15" s="5"/>
      <c r="G15" s="42"/>
      <c r="H15" s="7">
        <v>1</v>
      </c>
      <c r="I15" s="5">
        <v>1.63</v>
      </c>
      <c r="J15" s="5">
        <v>0.52</v>
      </c>
      <c r="K15" s="5">
        <v>0.47</v>
      </c>
      <c r="L15" s="5">
        <v>23.15</v>
      </c>
      <c r="M15" s="5" t="s">
        <v>6161</v>
      </c>
      <c r="N15" s="5" t="s">
        <v>6162</v>
      </c>
      <c r="O15" s="5" t="s">
        <v>6169</v>
      </c>
    </row>
    <row r="16" spans="1:16">
      <c r="B16" s="5" t="s">
        <v>24</v>
      </c>
      <c r="C16" s="5" t="str">
        <f>"Beat Floor Brass EU"</f>
        <v>Beat Floor Brass EU</v>
      </c>
      <c r="D16" s="42">
        <f>825</f>
        <v>825</v>
      </c>
      <c r="E16" s="5"/>
      <c r="F16" s="5"/>
      <c r="G16" s="42"/>
      <c r="H16" s="7">
        <v>1</v>
      </c>
      <c r="I16" s="5">
        <v>0.47</v>
      </c>
      <c r="J16" s="5">
        <v>1.63</v>
      </c>
      <c r="K16" s="5">
        <v>0.52</v>
      </c>
      <c r="L16" s="5">
        <v>23.15</v>
      </c>
      <c r="M16" s="5" t="s">
        <v>6161</v>
      </c>
      <c r="N16" s="5" t="s">
        <v>6162</v>
      </c>
      <c r="O16" s="5" t="s">
        <v>6170</v>
      </c>
    </row>
    <row r="17" spans="2:16" hidden="1" outlineLevel="1">
      <c r="B17" s="5" t="s">
        <v>25</v>
      </c>
      <c r="C17" s="5" t="str">
        <f>"Beat Fat Brushed Pendant EU"</f>
        <v>Beat Fat Brushed Pendant EU</v>
      </c>
      <c r="D17" s="42">
        <f>360</f>
        <v>360</v>
      </c>
      <c r="E17" s="5" t="s">
        <v>26</v>
      </c>
      <c r="F17" s="5" t="str">
        <f>IF($E17="","","Beat Light - Fat - Brushed")</f>
        <v>Beat Light - Fat - Brushed</v>
      </c>
      <c r="G17" s="42">
        <f>IF($E17="","",290)</f>
        <v>290</v>
      </c>
      <c r="H17" s="7">
        <f>IF(E17="","",1)</f>
        <v>1</v>
      </c>
      <c r="I17" s="5">
        <v>0.31</v>
      </c>
      <c r="J17" s="5">
        <v>0.31</v>
      </c>
      <c r="K17" s="5">
        <v>0.38</v>
      </c>
      <c r="L17" s="5">
        <v>2</v>
      </c>
      <c r="M17" s="5" t="s">
        <v>6161</v>
      </c>
      <c r="N17" s="5" t="s">
        <v>6171</v>
      </c>
      <c r="O17" s="5" t="s">
        <v>6172</v>
      </c>
    </row>
    <row r="18" spans="2:16" hidden="1" outlineLevel="1">
      <c r="B18" s="5" t="s">
        <v>25</v>
      </c>
      <c r="C18" s="5" t="str">
        <f>"Beat Fat Brushed Pendant EU"</f>
        <v>Beat Fat Brushed Pendant EU</v>
      </c>
      <c r="D18" s="42">
        <f>360</f>
        <v>360</v>
      </c>
      <c r="E18" s="5" t="s">
        <v>27</v>
      </c>
      <c r="F18" s="5" t="str">
        <f>IF($E18="","","Standard Pendt Fitting EU W33")</f>
        <v>Standard Pendt Fitting EU W33</v>
      </c>
      <c r="G18" s="42">
        <f>IF($E18="","",70)</f>
        <v>70</v>
      </c>
      <c r="H18" s="7">
        <f>IF(E18="","",1)</f>
        <v>1</v>
      </c>
      <c r="I18" s="5">
        <v>0.14000000000000001</v>
      </c>
      <c r="J18" s="5">
        <v>0.17</v>
      </c>
      <c r="K18" s="5">
        <v>0.19</v>
      </c>
      <c r="L18" s="5">
        <v>0.54</v>
      </c>
      <c r="M18" s="5" t="s">
        <v>6158</v>
      </c>
      <c r="N18" s="5" t="s">
        <v>6171</v>
      </c>
      <c r="O18" s="5" t="s">
        <v>6173</v>
      </c>
    </row>
    <row r="19" spans="2:16" collapsed="1">
      <c r="B19" s="5" t="s">
        <v>25</v>
      </c>
      <c r="C19" s="5" t="str">
        <f>"Beat Fat Brushed Pendant EU"</f>
        <v>Beat Fat Brushed Pendant EU</v>
      </c>
      <c r="D19" s="42">
        <f>360</f>
        <v>360</v>
      </c>
      <c r="E19" s="5"/>
      <c r="F19" s="5"/>
      <c r="G19" s="42"/>
      <c r="H19" s="7"/>
      <c r="I19" s="5"/>
      <c r="J19" s="5"/>
      <c r="K19" s="5"/>
      <c r="L19" s="5"/>
      <c r="M19" s="5"/>
      <c r="N19" s="5"/>
      <c r="O19" s="5" t="s">
        <v>1039</v>
      </c>
      <c r="P19" s="3"/>
    </row>
    <row r="20" spans="2:16" hidden="1" outlineLevel="1">
      <c r="B20" s="5" t="s">
        <v>28</v>
      </c>
      <c r="C20" s="5" t="str">
        <f>"Beat Fat Black Pendant EU"</f>
        <v>Beat Fat Black Pendant EU</v>
      </c>
      <c r="D20" s="42">
        <f>360</f>
        <v>360</v>
      </c>
      <c r="E20" s="5" t="s">
        <v>29</v>
      </c>
      <c r="F20" s="5" t="str">
        <f>IF($E20="","","Beat Shade Fat - Black")</f>
        <v>Beat Shade Fat - Black</v>
      </c>
      <c r="G20" s="42">
        <f>IF($E20="","",290)</f>
        <v>290</v>
      </c>
      <c r="H20" s="7">
        <f>IF(E20="","",1)</f>
        <v>1</v>
      </c>
      <c r="I20" s="5">
        <v>0.31</v>
      </c>
      <c r="J20" s="5">
        <v>0.31</v>
      </c>
      <c r="K20" s="5">
        <v>0.38</v>
      </c>
      <c r="L20" s="5">
        <v>2</v>
      </c>
      <c r="M20" s="5" t="s">
        <v>6161</v>
      </c>
      <c r="N20" s="5" t="s">
        <v>6162</v>
      </c>
      <c r="O20" s="5" t="s">
        <v>6174</v>
      </c>
    </row>
    <row r="21" spans="2:16" hidden="1" outlineLevel="1">
      <c r="B21" s="5" t="s">
        <v>28</v>
      </c>
      <c r="C21" s="5" t="str">
        <f>"Beat Fat Black Pendant EU"</f>
        <v>Beat Fat Black Pendant EU</v>
      </c>
      <c r="D21" s="42">
        <f>360</f>
        <v>360</v>
      </c>
      <c r="E21" s="5" t="s">
        <v>27</v>
      </c>
      <c r="F21" s="5" t="str">
        <f>IF($E21="","","Standard Pendt Fitting EU W33")</f>
        <v>Standard Pendt Fitting EU W33</v>
      </c>
      <c r="G21" s="42">
        <f>IF($E21="","",70)</f>
        <v>70</v>
      </c>
      <c r="H21" s="7">
        <f>IF(E21="","",1)</f>
        <v>1</v>
      </c>
      <c r="I21" s="5">
        <v>0.14000000000000001</v>
      </c>
      <c r="J21" s="5">
        <v>0.17</v>
      </c>
      <c r="K21" s="5">
        <v>0.19</v>
      </c>
      <c r="L21" s="5">
        <v>0.54</v>
      </c>
      <c r="M21" s="5" t="s">
        <v>6158</v>
      </c>
      <c r="N21" s="5" t="s">
        <v>6171</v>
      </c>
      <c r="O21" s="5" t="s">
        <v>6173</v>
      </c>
    </row>
    <row r="22" spans="2:16" collapsed="1">
      <c r="B22" s="5" t="s">
        <v>28</v>
      </c>
      <c r="C22" s="5" t="str">
        <f>"Beat Fat Black Pendant EU"</f>
        <v>Beat Fat Black Pendant EU</v>
      </c>
      <c r="D22" s="42">
        <f>360</f>
        <v>360</v>
      </c>
      <c r="E22" s="5"/>
      <c r="F22" s="5"/>
      <c r="G22" s="42"/>
      <c r="H22" s="7"/>
      <c r="I22" s="5"/>
      <c r="J22" s="5"/>
      <c r="K22" s="5"/>
      <c r="L22" s="5"/>
      <c r="M22" s="5"/>
      <c r="N22" s="5"/>
      <c r="O22" s="5" t="s">
        <v>1039</v>
      </c>
      <c r="P22" s="3"/>
    </row>
    <row r="23" spans="2:16" hidden="1" outlineLevel="1">
      <c r="B23" s="5" t="s">
        <v>30</v>
      </c>
      <c r="C23" s="5" t="str">
        <f>"Beat Light Fat - Grey/Silver"</f>
        <v>Beat Light Fat - Grey/Silver</v>
      </c>
      <c r="D23" s="42">
        <f>360</f>
        <v>360</v>
      </c>
      <c r="E23" s="5" t="s">
        <v>31</v>
      </c>
      <c r="F23" s="5" t="str">
        <f>IF($E23="","","Beat Light Fat - Grey/Silver")</f>
        <v>Beat Light Fat - Grey/Silver</v>
      </c>
      <c r="G23" s="42">
        <f>IF($E23="","",290)</f>
        <v>290</v>
      </c>
      <c r="H23" s="7">
        <f>IF(E23="","",1)</f>
        <v>1</v>
      </c>
      <c r="I23" s="5">
        <v>0.31</v>
      </c>
      <c r="J23" s="5">
        <v>0.31</v>
      </c>
      <c r="K23" s="5">
        <v>0.38</v>
      </c>
      <c r="L23" s="5">
        <v>2</v>
      </c>
      <c r="M23" s="5" t="s">
        <v>6161</v>
      </c>
      <c r="N23" s="5" t="s">
        <v>6171</v>
      </c>
      <c r="O23" s="5" t="s">
        <v>6175</v>
      </c>
    </row>
    <row r="24" spans="2:16" hidden="1" outlineLevel="1">
      <c r="B24" s="5" t="s">
        <v>30</v>
      </c>
      <c r="C24" s="5" t="str">
        <f>"Beat Light Fat - Grey/Silver"</f>
        <v>Beat Light Fat - Grey/Silver</v>
      </c>
      <c r="D24" s="42">
        <f>360</f>
        <v>360</v>
      </c>
      <c r="E24" s="5" t="s">
        <v>27</v>
      </c>
      <c r="F24" s="5" t="str">
        <f>IF($E24="","","Standard Pendt Fitting EU W33")</f>
        <v>Standard Pendt Fitting EU W33</v>
      </c>
      <c r="G24" s="42">
        <f>IF($E24="","",70)</f>
        <v>70</v>
      </c>
      <c r="H24" s="7">
        <f>IF(E24="","",1)</f>
        <v>1</v>
      </c>
      <c r="I24" s="5">
        <v>0.14000000000000001</v>
      </c>
      <c r="J24" s="5">
        <v>0.17</v>
      </c>
      <c r="K24" s="5">
        <v>0.19</v>
      </c>
      <c r="L24" s="5">
        <v>0.54</v>
      </c>
      <c r="M24" s="5" t="s">
        <v>6158</v>
      </c>
      <c r="N24" s="5" t="s">
        <v>6171</v>
      </c>
      <c r="O24" s="5" t="s">
        <v>6173</v>
      </c>
    </row>
    <row r="25" spans="2:16" collapsed="1">
      <c r="B25" s="5" t="s">
        <v>30</v>
      </c>
      <c r="C25" s="5" t="str">
        <f>"Beat Light Fat - Grey/Silver"</f>
        <v>Beat Light Fat - Grey/Silver</v>
      </c>
      <c r="D25" s="42">
        <f>360</f>
        <v>360</v>
      </c>
      <c r="E25" s="5"/>
      <c r="F25" s="5"/>
      <c r="G25" s="42"/>
      <c r="H25" s="7"/>
      <c r="I25" s="5"/>
      <c r="J25" s="5"/>
      <c r="K25" s="5"/>
      <c r="L25" s="5"/>
      <c r="M25" s="5"/>
      <c r="N25" s="5"/>
      <c r="O25" s="5" t="s">
        <v>1039</v>
      </c>
      <c r="P25" s="3"/>
    </row>
    <row r="26" spans="2:16" hidden="1" outlineLevel="1">
      <c r="B26" s="5" t="s">
        <v>32</v>
      </c>
      <c r="C26" s="5" t="str">
        <f>"Beat Fat White Pendant EU"</f>
        <v>Beat Fat White Pendant EU</v>
      </c>
      <c r="D26" s="42">
        <f>360</f>
        <v>360</v>
      </c>
      <c r="E26" s="5" t="s">
        <v>33</v>
      </c>
      <c r="F26" s="5" t="str">
        <f>IF($E26="","","Beat Shade Fat - White")</f>
        <v>Beat Shade Fat - White</v>
      </c>
      <c r="G26" s="42">
        <f>IF($E26="","",290)</f>
        <v>290</v>
      </c>
      <c r="H26" s="7">
        <f>IF(E26="","",1)</f>
        <v>1</v>
      </c>
      <c r="I26" s="5">
        <v>0.31</v>
      </c>
      <c r="J26" s="5">
        <v>0.31</v>
      </c>
      <c r="K26" s="5">
        <v>0.38</v>
      </c>
      <c r="L26" s="5">
        <v>2</v>
      </c>
      <c r="M26" s="5" t="s">
        <v>6161</v>
      </c>
      <c r="N26" s="5" t="s">
        <v>6162</v>
      </c>
      <c r="O26" s="5" t="s">
        <v>6176</v>
      </c>
    </row>
    <row r="27" spans="2:16" hidden="1" outlineLevel="1">
      <c r="B27" s="5" t="s">
        <v>32</v>
      </c>
      <c r="C27" s="5" t="str">
        <f>"Beat Fat White Pendant EU"</f>
        <v>Beat Fat White Pendant EU</v>
      </c>
      <c r="D27" s="42">
        <f>360</f>
        <v>360</v>
      </c>
      <c r="E27" s="5" t="s">
        <v>34</v>
      </c>
      <c r="F27" s="5" t="str">
        <f>IF($E27="","","Standard Pendt Fitting EU W33")</f>
        <v>Standard Pendt Fitting EU W33</v>
      </c>
      <c r="G27" s="42">
        <f>IF($E27="","",70)</f>
        <v>70</v>
      </c>
      <c r="H27" s="7">
        <f>IF(E27="","",1)</f>
        <v>1</v>
      </c>
      <c r="I27" s="5">
        <v>0.14000000000000001</v>
      </c>
      <c r="J27" s="5">
        <v>0.21</v>
      </c>
      <c r="K27" s="5">
        <v>0.16</v>
      </c>
      <c r="L27" s="5">
        <v>0.59499999999999997</v>
      </c>
      <c r="M27" s="5" t="s">
        <v>6158</v>
      </c>
      <c r="N27" s="5" t="s">
        <v>6171</v>
      </c>
      <c r="O27" s="5" t="s">
        <v>6177</v>
      </c>
    </row>
    <row r="28" spans="2:16" collapsed="1">
      <c r="B28" s="5" t="s">
        <v>32</v>
      </c>
      <c r="C28" s="5" t="str">
        <f>"Beat Fat White Pendant EU"</f>
        <v>Beat Fat White Pendant EU</v>
      </c>
      <c r="D28" s="42">
        <f>360</f>
        <v>360</v>
      </c>
      <c r="E28" s="5"/>
      <c r="F28" s="5"/>
      <c r="G28" s="42"/>
      <c r="H28" s="7"/>
      <c r="I28" s="5"/>
      <c r="J28" s="5"/>
      <c r="K28" s="5"/>
      <c r="L28" s="5"/>
      <c r="M28" s="5"/>
      <c r="N28" s="5"/>
      <c r="O28" s="5" t="s">
        <v>1039</v>
      </c>
      <c r="P28" s="3"/>
    </row>
    <row r="29" spans="2:16" hidden="1" outlineLevel="1">
      <c r="B29" s="5" t="s">
        <v>35</v>
      </c>
      <c r="C29" s="5" t="str">
        <f>"Beat Tall Brushed Pendant EU"</f>
        <v>Beat Tall Brushed Pendant EU</v>
      </c>
      <c r="D29" s="42">
        <f>360</f>
        <v>360</v>
      </c>
      <c r="E29" s="5" t="s">
        <v>36</v>
      </c>
      <c r="F29" s="5" t="str">
        <f>IF($E29="","","Beat Light -Tall - Brushed")</f>
        <v>Beat Light -Tall - Brushed</v>
      </c>
      <c r="G29" s="42">
        <f>IF($E29="","",290)</f>
        <v>290</v>
      </c>
      <c r="H29" s="7">
        <f>IF(E29="","",1)</f>
        <v>1</v>
      </c>
      <c r="I29" s="5">
        <v>0.24</v>
      </c>
      <c r="J29" s="5">
        <v>0.24</v>
      </c>
      <c r="K29" s="5">
        <v>0.48</v>
      </c>
      <c r="L29" s="5">
        <v>1.25</v>
      </c>
      <c r="M29" s="5" t="s">
        <v>6161</v>
      </c>
      <c r="N29" s="5" t="s">
        <v>6171</v>
      </c>
      <c r="O29" s="5" t="s">
        <v>6178</v>
      </c>
    </row>
    <row r="30" spans="2:16" hidden="1" outlineLevel="1">
      <c r="B30" s="5" t="s">
        <v>35</v>
      </c>
      <c r="C30" s="5" t="str">
        <f>"Beat Tall Brushed Pendant EU"</f>
        <v>Beat Tall Brushed Pendant EU</v>
      </c>
      <c r="D30" s="42">
        <f>360</f>
        <v>360</v>
      </c>
      <c r="E30" s="5" t="s">
        <v>27</v>
      </c>
      <c r="F30" s="5" t="str">
        <f>IF($E30="","","Standard Pendt Fitting EU W33")</f>
        <v>Standard Pendt Fitting EU W33</v>
      </c>
      <c r="G30" s="42">
        <f>IF($E30="","",70)</f>
        <v>70</v>
      </c>
      <c r="H30" s="7">
        <f>IF(E30="","",1)</f>
        <v>1</v>
      </c>
      <c r="I30" s="5">
        <v>0.14000000000000001</v>
      </c>
      <c r="J30" s="5">
        <v>0.17</v>
      </c>
      <c r="K30" s="5">
        <v>0.19</v>
      </c>
      <c r="L30" s="5">
        <v>0.54</v>
      </c>
      <c r="M30" s="5" t="s">
        <v>6158</v>
      </c>
      <c r="N30" s="5" t="s">
        <v>6171</v>
      </c>
      <c r="O30" s="5" t="s">
        <v>6173</v>
      </c>
    </row>
    <row r="31" spans="2:16" collapsed="1">
      <c r="B31" s="5" t="s">
        <v>35</v>
      </c>
      <c r="C31" s="5" t="str">
        <f>"Beat Tall Brushed Pendant EU"</f>
        <v>Beat Tall Brushed Pendant EU</v>
      </c>
      <c r="D31" s="42">
        <f>360</f>
        <v>360</v>
      </c>
      <c r="E31" s="5"/>
      <c r="F31" s="5"/>
      <c r="G31" s="42"/>
      <c r="H31" s="7"/>
      <c r="I31" s="5"/>
      <c r="J31" s="5"/>
      <c r="K31" s="5"/>
      <c r="L31" s="5"/>
      <c r="M31" s="5"/>
      <c r="N31" s="5"/>
      <c r="O31" s="5" t="s">
        <v>1039</v>
      </c>
      <c r="P31" s="3"/>
    </row>
    <row r="32" spans="2:16" hidden="1" outlineLevel="1">
      <c r="B32" s="5" t="s">
        <v>37</v>
      </c>
      <c r="C32" s="5" t="str">
        <f>"Beat Tall Black Pendant EU"</f>
        <v>Beat Tall Black Pendant EU</v>
      </c>
      <c r="D32" s="42">
        <f>360</f>
        <v>360</v>
      </c>
      <c r="E32" s="5" t="s">
        <v>38</v>
      </c>
      <c r="F32" s="5" t="str">
        <f>IF($E32="","","Beat Shade Tall - Black")</f>
        <v>Beat Shade Tall - Black</v>
      </c>
      <c r="G32" s="42">
        <f>IF($E32="","",290)</f>
        <v>290</v>
      </c>
      <c r="H32" s="7">
        <f>IF(E32="","",1)</f>
        <v>1</v>
      </c>
      <c r="I32" s="5">
        <v>0.24</v>
      </c>
      <c r="J32" s="5">
        <v>0.24</v>
      </c>
      <c r="K32" s="5">
        <v>0.48</v>
      </c>
      <c r="L32" s="5">
        <v>1.25</v>
      </c>
      <c r="M32" s="5" t="s">
        <v>6161</v>
      </c>
      <c r="N32" s="5" t="s">
        <v>6162</v>
      </c>
      <c r="O32" s="5" t="s">
        <v>6179</v>
      </c>
    </row>
    <row r="33" spans="2:16" hidden="1" outlineLevel="1">
      <c r="B33" s="5" t="s">
        <v>37</v>
      </c>
      <c r="C33" s="5" t="str">
        <f>"Beat Tall Black Pendant EU"</f>
        <v>Beat Tall Black Pendant EU</v>
      </c>
      <c r="D33" s="42">
        <f>360</f>
        <v>360</v>
      </c>
      <c r="E33" s="5" t="s">
        <v>27</v>
      </c>
      <c r="F33" s="5" t="str">
        <f>IF($E33="","","Standard Pendt Fitting EU W33")</f>
        <v>Standard Pendt Fitting EU W33</v>
      </c>
      <c r="G33" s="42">
        <f>IF($E33="","",70)</f>
        <v>70</v>
      </c>
      <c r="H33" s="7">
        <f>IF(E33="","",1)</f>
        <v>1</v>
      </c>
      <c r="I33" s="5">
        <v>0.14000000000000001</v>
      </c>
      <c r="J33" s="5">
        <v>0.17</v>
      </c>
      <c r="K33" s="5">
        <v>0.19</v>
      </c>
      <c r="L33" s="5">
        <v>0.54</v>
      </c>
      <c r="M33" s="5" t="s">
        <v>6158</v>
      </c>
      <c r="N33" s="5" t="s">
        <v>6171</v>
      </c>
      <c r="O33" s="5" t="s">
        <v>6173</v>
      </c>
    </row>
    <row r="34" spans="2:16" collapsed="1">
      <c r="B34" s="5" t="s">
        <v>37</v>
      </c>
      <c r="C34" s="5" t="str">
        <f>"Beat Tall Black Pendant EU"</f>
        <v>Beat Tall Black Pendant EU</v>
      </c>
      <c r="D34" s="42">
        <f>360</f>
        <v>360</v>
      </c>
      <c r="E34" s="5"/>
      <c r="F34" s="5"/>
      <c r="G34" s="42"/>
      <c r="H34" s="7"/>
      <c r="I34" s="5"/>
      <c r="J34" s="5"/>
      <c r="K34" s="5"/>
      <c r="L34" s="5"/>
      <c r="M34" s="5"/>
      <c r="N34" s="5"/>
      <c r="O34" s="5" t="s">
        <v>1039</v>
      </c>
      <c r="P34" s="3"/>
    </row>
    <row r="35" spans="2:16" hidden="1" outlineLevel="1">
      <c r="B35" s="5" t="s">
        <v>39</v>
      </c>
      <c r="C35" s="5" t="str">
        <f>"Beat Light Tall - Grey/ Silver"</f>
        <v>Beat Light Tall - Grey/ Silver</v>
      </c>
      <c r="D35" s="42">
        <f>360</f>
        <v>360</v>
      </c>
      <c r="E35" s="5" t="s">
        <v>40</v>
      </c>
      <c r="F35" s="5" t="str">
        <f>IF($E35="","","Beat Light Tall - Grey/ Silver")</f>
        <v>Beat Light Tall - Grey/ Silver</v>
      </c>
      <c r="G35" s="42">
        <f>IF($E35="","",290)</f>
        <v>290</v>
      </c>
      <c r="H35" s="7">
        <f>IF(E35="","",1)</f>
        <v>1</v>
      </c>
      <c r="I35" s="5">
        <v>0.24</v>
      </c>
      <c r="J35" s="5">
        <v>0.24</v>
      </c>
      <c r="K35" s="5">
        <v>0.48</v>
      </c>
      <c r="L35" s="5">
        <v>1.25</v>
      </c>
      <c r="M35" s="5" t="s">
        <v>6161</v>
      </c>
      <c r="N35" s="5" t="s">
        <v>6171</v>
      </c>
      <c r="O35" s="5" t="s">
        <v>6180</v>
      </c>
    </row>
    <row r="36" spans="2:16" hidden="1" outlineLevel="1">
      <c r="B36" s="5" t="s">
        <v>39</v>
      </c>
      <c r="C36" s="5" t="str">
        <f>"Beat Light Tall - Grey/ Silver"</f>
        <v>Beat Light Tall - Grey/ Silver</v>
      </c>
      <c r="D36" s="42">
        <f>360</f>
        <v>360</v>
      </c>
      <c r="E36" s="5" t="s">
        <v>27</v>
      </c>
      <c r="F36" s="5" t="str">
        <f>IF($E36="","","Standard Pendt Fitting EU W33")</f>
        <v>Standard Pendt Fitting EU W33</v>
      </c>
      <c r="G36" s="42">
        <f>IF($E36="","",70)</f>
        <v>70</v>
      </c>
      <c r="H36" s="7">
        <f>IF(E36="","",1)</f>
        <v>1</v>
      </c>
      <c r="I36" s="5">
        <v>0.14000000000000001</v>
      </c>
      <c r="J36" s="5">
        <v>0.17</v>
      </c>
      <c r="K36" s="5">
        <v>0.19</v>
      </c>
      <c r="L36" s="5">
        <v>0.54</v>
      </c>
      <c r="M36" s="5" t="s">
        <v>6158</v>
      </c>
      <c r="N36" s="5" t="s">
        <v>6171</v>
      </c>
      <c r="O36" s="5" t="s">
        <v>6173</v>
      </c>
    </row>
    <row r="37" spans="2:16" collapsed="1">
      <c r="B37" s="5" t="s">
        <v>39</v>
      </c>
      <c r="C37" s="5" t="str">
        <f>"Beat Light Tall - Grey/ Silver"</f>
        <v>Beat Light Tall - Grey/ Silver</v>
      </c>
      <c r="D37" s="42">
        <f>360</f>
        <v>360</v>
      </c>
      <c r="E37" s="5"/>
      <c r="F37" s="5"/>
      <c r="G37" s="42"/>
      <c r="H37" s="7"/>
      <c r="I37" s="5"/>
      <c r="J37" s="5"/>
      <c r="K37" s="5"/>
      <c r="L37" s="5"/>
      <c r="M37" s="5"/>
      <c r="N37" s="5"/>
      <c r="O37" s="5" t="s">
        <v>1039</v>
      </c>
      <c r="P37" s="3"/>
    </row>
    <row r="38" spans="2:16" hidden="1" outlineLevel="1">
      <c r="B38" s="5" t="s">
        <v>41</v>
      </c>
      <c r="C38" s="5" t="str">
        <f>"Beat Stout White Pendant EU"</f>
        <v>Beat Stout White Pendant EU</v>
      </c>
      <c r="D38" s="42">
        <f>900</f>
        <v>900</v>
      </c>
      <c r="E38" s="5" t="s">
        <v>42</v>
      </c>
      <c r="F38" s="5" t="str">
        <f>IF($E38="","","Beat Shade Stout - White")</f>
        <v>Beat Shade Stout - White</v>
      </c>
      <c r="G38" s="42">
        <f>IF($E38="","",825)</f>
        <v>825</v>
      </c>
      <c r="H38" s="7">
        <f>IF(E38="","",1)</f>
        <v>1</v>
      </c>
      <c r="I38" s="5">
        <v>0.59</v>
      </c>
      <c r="J38" s="5">
        <v>0.59</v>
      </c>
      <c r="K38" s="5">
        <v>0.59</v>
      </c>
      <c r="L38" s="5">
        <v>10</v>
      </c>
      <c r="M38" s="5" t="s">
        <v>6161</v>
      </c>
      <c r="N38" s="5" t="s">
        <v>6162</v>
      </c>
      <c r="O38" s="5" t="s">
        <v>6181</v>
      </c>
    </row>
    <row r="39" spans="2:16" hidden="1" outlineLevel="1">
      <c r="B39" s="5" t="s">
        <v>41</v>
      </c>
      <c r="C39" s="5" t="str">
        <f>"Beat Stout White Pendant EU"</f>
        <v>Beat Stout White Pendant EU</v>
      </c>
      <c r="D39" s="42">
        <f>900</f>
        <v>900</v>
      </c>
      <c r="E39" s="5" t="s">
        <v>43</v>
      </c>
      <c r="F39" s="5" t="str">
        <f>IF($E39="","","Beat Pendant Lg Fitting Wht EU")</f>
        <v>Beat Pendant Lg Fitting Wht EU</v>
      </c>
      <c r="G39" s="42">
        <f>IF($E39="","",75)</f>
        <v>75</v>
      </c>
      <c r="H39" s="7">
        <f>IF(E39="","",1)</f>
        <v>1</v>
      </c>
      <c r="I39" s="5">
        <v>0.19</v>
      </c>
      <c r="J39" s="5">
        <v>0.17</v>
      </c>
      <c r="K39" s="5">
        <v>0.155</v>
      </c>
      <c r="L39" s="5">
        <v>0.67</v>
      </c>
      <c r="M39" s="5" t="s">
        <v>6158</v>
      </c>
      <c r="N39" s="5" t="s">
        <v>6171</v>
      </c>
      <c r="O39" s="5" t="s">
        <v>6182</v>
      </c>
    </row>
    <row r="40" spans="2:16" collapsed="1">
      <c r="B40" s="5" t="s">
        <v>41</v>
      </c>
      <c r="C40" s="5" t="str">
        <f>"Beat Stout White Pendant EU"</f>
        <v>Beat Stout White Pendant EU</v>
      </c>
      <c r="D40" s="42">
        <f>900</f>
        <v>900</v>
      </c>
      <c r="E40" s="5"/>
      <c r="F40" s="5"/>
      <c r="G40" s="42"/>
      <c r="H40" s="7"/>
      <c r="I40" s="5"/>
      <c r="J40" s="5"/>
      <c r="K40" s="5"/>
      <c r="L40" s="5"/>
      <c r="M40" s="5"/>
      <c r="N40" s="5"/>
      <c r="O40" s="5" t="s">
        <v>1039</v>
      </c>
      <c r="P40" s="3"/>
    </row>
    <row r="41" spans="2:16" hidden="1" outlineLevel="1">
      <c r="B41" s="5" t="s">
        <v>44</v>
      </c>
      <c r="C41" s="5" t="str">
        <f>"Beat Tall White   Pendant EU"</f>
        <v>Beat Tall White   Pendant EU</v>
      </c>
      <c r="D41" s="42">
        <f>360</f>
        <v>360</v>
      </c>
      <c r="E41" s="5" t="s">
        <v>45</v>
      </c>
      <c r="F41" s="5" t="str">
        <f>IF($E41="","","Beat Shade Tall - White")</f>
        <v>Beat Shade Tall - White</v>
      </c>
      <c r="G41" s="42">
        <f>IF($E41="","",290)</f>
        <v>290</v>
      </c>
      <c r="H41" s="7">
        <f>IF(E41="","",1)</f>
        <v>1</v>
      </c>
      <c r="I41" s="5">
        <v>0.24</v>
      </c>
      <c r="J41" s="5">
        <v>0.24</v>
      </c>
      <c r="K41" s="5">
        <v>0.48</v>
      </c>
      <c r="L41" s="5">
        <v>1.25</v>
      </c>
      <c r="M41" s="5" t="s">
        <v>6161</v>
      </c>
      <c r="N41" s="5" t="s">
        <v>6162</v>
      </c>
      <c r="O41" s="5" t="s">
        <v>6183</v>
      </c>
    </row>
    <row r="42" spans="2:16" hidden="1" outlineLevel="1">
      <c r="B42" s="5" t="s">
        <v>44</v>
      </c>
      <c r="C42" s="5" t="str">
        <f>"Beat Tall White   Pendant EU"</f>
        <v>Beat Tall White   Pendant EU</v>
      </c>
      <c r="D42" s="42">
        <f>360</f>
        <v>360</v>
      </c>
      <c r="E42" s="5" t="s">
        <v>34</v>
      </c>
      <c r="F42" s="5" t="str">
        <f>IF($E42="","","Standard Pendt Fitting EU W33")</f>
        <v>Standard Pendt Fitting EU W33</v>
      </c>
      <c r="G42" s="42">
        <f>IF($E42="","",70)</f>
        <v>70</v>
      </c>
      <c r="H42" s="7">
        <f>IF(E42="","",1)</f>
        <v>1</v>
      </c>
      <c r="I42" s="5">
        <v>0.14000000000000001</v>
      </c>
      <c r="J42" s="5">
        <v>0.21</v>
      </c>
      <c r="K42" s="5">
        <v>0.16</v>
      </c>
      <c r="L42" s="5">
        <v>0.59499999999999997</v>
      </c>
      <c r="M42" s="5" t="s">
        <v>6158</v>
      </c>
      <c r="N42" s="5" t="s">
        <v>6171</v>
      </c>
      <c r="O42" s="5" t="s">
        <v>6177</v>
      </c>
    </row>
    <row r="43" spans="2:16" collapsed="1">
      <c r="B43" s="5" t="s">
        <v>44</v>
      </c>
      <c r="C43" s="5" t="str">
        <f>"Beat Tall White   Pendant EU"</f>
        <v>Beat Tall White   Pendant EU</v>
      </c>
      <c r="D43" s="42">
        <f>360</f>
        <v>360</v>
      </c>
      <c r="E43" s="5"/>
      <c r="F43" s="5"/>
      <c r="G43" s="42"/>
      <c r="H43" s="7"/>
      <c r="I43" s="5"/>
      <c r="J43" s="5"/>
      <c r="K43" s="5"/>
      <c r="L43" s="5"/>
      <c r="M43" s="5"/>
      <c r="N43" s="5"/>
      <c r="O43" s="5" t="s">
        <v>1039</v>
      </c>
      <c r="P43" s="3"/>
    </row>
    <row r="44" spans="2:16" hidden="1" outlineLevel="1">
      <c r="B44" s="5" t="s">
        <v>46</v>
      </c>
      <c r="C44" s="5" t="str">
        <f>"Beat Wide Black Pendant EU"</f>
        <v>Beat Wide Black Pendant EU</v>
      </c>
      <c r="D44" s="42">
        <f>360</f>
        <v>360</v>
      </c>
      <c r="E44" s="5" t="s">
        <v>27</v>
      </c>
      <c r="F44" s="5" t="str">
        <f>IF($E44="","","Standard Pendt Fitting EU W33")</f>
        <v>Standard Pendt Fitting EU W33</v>
      </c>
      <c r="G44" s="42">
        <f>IF($E44="","",70)</f>
        <v>70</v>
      </c>
      <c r="H44" s="7">
        <f>IF(E44="","",1)</f>
        <v>1</v>
      </c>
      <c r="I44" s="5">
        <v>0.14000000000000001</v>
      </c>
      <c r="J44" s="5">
        <v>0.17</v>
      </c>
      <c r="K44" s="5">
        <v>0.19</v>
      </c>
      <c r="L44" s="5">
        <v>0.54</v>
      </c>
      <c r="M44" s="5" t="s">
        <v>6158</v>
      </c>
      <c r="N44" s="5" t="s">
        <v>6171</v>
      </c>
      <c r="O44" s="5" t="s">
        <v>6173</v>
      </c>
    </row>
    <row r="45" spans="2:16" hidden="1" outlineLevel="1">
      <c r="B45" s="5" t="s">
        <v>46</v>
      </c>
      <c r="C45" s="5" t="str">
        <f>"Beat Wide Black Pendant EU"</f>
        <v>Beat Wide Black Pendant EU</v>
      </c>
      <c r="D45" s="42">
        <f>360</f>
        <v>360</v>
      </c>
      <c r="E45" s="5" t="s">
        <v>47</v>
      </c>
      <c r="F45" s="5" t="str">
        <f>IF($E45="","","Beat Black Wide")</f>
        <v>Beat Black Wide</v>
      </c>
      <c r="G45" s="42">
        <f>IF($E45="","",290)</f>
        <v>290</v>
      </c>
      <c r="H45" s="7">
        <f>IF(E45="","",1)</f>
        <v>1</v>
      </c>
      <c r="I45" s="5">
        <v>0.42</v>
      </c>
      <c r="J45" s="5">
        <v>0.42</v>
      </c>
      <c r="K45" s="5">
        <v>0.24</v>
      </c>
      <c r="L45" s="5">
        <v>2.2000000000000002</v>
      </c>
      <c r="M45" s="5" t="s">
        <v>6161</v>
      </c>
      <c r="N45" s="5" t="s">
        <v>6162</v>
      </c>
      <c r="O45" s="5" t="s">
        <v>6184</v>
      </c>
    </row>
    <row r="46" spans="2:16" collapsed="1">
      <c r="B46" s="5" t="s">
        <v>46</v>
      </c>
      <c r="C46" s="5" t="str">
        <f>"Beat Wide Black Pendant EU"</f>
        <v>Beat Wide Black Pendant EU</v>
      </c>
      <c r="D46" s="42">
        <f>360</f>
        <v>360</v>
      </c>
      <c r="E46" s="5"/>
      <c r="F46" s="5"/>
      <c r="G46" s="42"/>
      <c r="H46" s="7"/>
      <c r="I46" s="5"/>
      <c r="J46" s="5"/>
      <c r="K46" s="5"/>
      <c r="L46" s="5"/>
      <c r="M46" s="5"/>
      <c r="N46" s="5"/>
      <c r="O46" s="5" t="s">
        <v>1039</v>
      </c>
      <c r="P46" s="3"/>
    </row>
    <row r="47" spans="2:16" hidden="1" outlineLevel="1">
      <c r="B47" s="5" t="s">
        <v>48</v>
      </c>
      <c r="C47" s="5" t="str">
        <f>"Beat Wide Brushed Pendant EU"</f>
        <v>Beat Wide Brushed Pendant EU</v>
      </c>
      <c r="D47" s="42">
        <f>360</f>
        <v>360</v>
      </c>
      <c r="E47" s="5" t="s">
        <v>49</v>
      </c>
      <c r="F47" s="5" t="str">
        <f>IF($E47="","","Beat Light - Wide -Brushed")</f>
        <v>Beat Light - Wide -Brushed</v>
      </c>
      <c r="G47" s="42">
        <f>IF($E47="","",290)</f>
        <v>290</v>
      </c>
      <c r="H47" s="7">
        <f>IF(E47="","",1)</f>
        <v>1</v>
      </c>
      <c r="I47" s="5">
        <v>0.42</v>
      </c>
      <c r="J47" s="5">
        <v>0.42</v>
      </c>
      <c r="K47" s="5">
        <v>0.24</v>
      </c>
      <c r="L47" s="5">
        <v>1.8</v>
      </c>
      <c r="M47" s="5" t="s">
        <v>6161</v>
      </c>
      <c r="N47" s="5" t="s">
        <v>6171</v>
      </c>
      <c r="O47" s="5" t="s">
        <v>6185</v>
      </c>
    </row>
    <row r="48" spans="2:16" hidden="1" outlineLevel="1">
      <c r="B48" s="5" t="s">
        <v>48</v>
      </c>
      <c r="C48" s="5" t="str">
        <f>"Beat Wide Brushed Pendant EU"</f>
        <v>Beat Wide Brushed Pendant EU</v>
      </c>
      <c r="D48" s="42">
        <f>360</f>
        <v>360</v>
      </c>
      <c r="E48" s="5" t="s">
        <v>27</v>
      </c>
      <c r="F48" s="5" t="str">
        <f>IF($E48="","","Standard Pendt Fitting EU W33")</f>
        <v>Standard Pendt Fitting EU W33</v>
      </c>
      <c r="G48" s="42">
        <f>IF($E48="","",70)</f>
        <v>70</v>
      </c>
      <c r="H48" s="7">
        <f>IF(E48="","",1)</f>
        <v>1</v>
      </c>
      <c r="I48" s="5">
        <v>0.14000000000000001</v>
      </c>
      <c r="J48" s="5">
        <v>0.17</v>
      </c>
      <c r="K48" s="5">
        <v>0.19</v>
      </c>
      <c r="L48" s="5">
        <v>0.54</v>
      </c>
      <c r="M48" s="5" t="s">
        <v>6158</v>
      </c>
      <c r="N48" s="5" t="s">
        <v>6171</v>
      </c>
      <c r="O48" s="5" t="s">
        <v>6173</v>
      </c>
    </row>
    <row r="49" spans="2:16" collapsed="1">
      <c r="B49" s="5" t="s">
        <v>48</v>
      </c>
      <c r="C49" s="5" t="str">
        <f>"Beat Wide Brushed Pendant EU"</f>
        <v>Beat Wide Brushed Pendant EU</v>
      </c>
      <c r="D49" s="42">
        <f>360</f>
        <v>360</v>
      </c>
      <c r="E49" s="5"/>
      <c r="F49" s="5"/>
      <c r="G49" s="42"/>
      <c r="H49" s="7"/>
      <c r="I49" s="5"/>
      <c r="J49" s="5"/>
      <c r="K49" s="5"/>
      <c r="L49" s="5"/>
      <c r="M49" s="5"/>
      <c r="N49" s="5"/>
      <c r="O49" s="5" t="s">
        <v>1039</v>
      </c>
      <c r="P49" s="3"/>
    </row>
    <row r="50" spans="2:16" hidden="1" outlineLevel="1">
      <c r="B50" s="5" t="s">
        <v>50</v>
      </c>
      <c r="C50" s="5" t="str">
        <f>"Beat Light Wide - Grey/Silver"</f>
        <v>Beat Light Wide - Grey/Silver</v>
      </c>
      <c r="D50" s="42">
        <f>360</f>
        <v>360</v>
      </c>
      <c r="E50" s="5" t="s">
        <v>51</v>
      </c>
      <c r="F50" s="5" t="str">
        <f>IF($E50="","","Beat Light Wide - Grey/Silver")</f>
        <v>Beat Light Wide - Grey/Silver</v>
      </c>
      <c r="G50" s="42">
        <f>IF($E50="","",290)</f>
        <v>290</v>
      </c>
      <c r="H50" s="7">
        <f>IF(E50="","",1)</f>
        <v>1</v>
      </c>
      <c r="I50" s="5">
        <v>0.42</v>
      </c>
      <c r="J50" s="5">
        <v>0.42</v>
      </c>
      <c r="K50" s="5">
        <v>0.24</v>
      </c>
      <c r="L50" s="5">
        <v>1.8</v>
      </c>
      <c r="M50" s="5" t="s">
        <v>6161</v>
      </c>
      <c r="N50" s="5" t="s">
        <v>6171</v>
      </c>
      <c r="O50" s="5" t="s">
        <v>6186</v>
      </c>
    </row>
    <row r="51" spans="2:16" hidden="1" outlineLevel="1">
      <c r="B51" s="5" t="s">
        <v>50</v>
      </c>
      <c r="C51" s="5" t="str">
        <f>"Beat Light Wide - Grey/Silver"</f>
        <v>Beat Light Wide - Grey/Silver</v>
      </c>
      <c r="D51" s="42">
        <f>360</f>
        <v>360</v>
      </c>
      <c r="E51" s="5" t="s">
        <v>27</v>
      </c>
      <c r="F51" s="5" t="str">
        <f>IF($E51="","","Standard Pendt Fitting EU W33")</f>
        <v>Standard Pendt Fitting EU W33</v>
      </c>
      <c r="G51" s="42">
        <f>IF($E51="","",70)</f>
        <v>70</v>
      </c>
      <c r="H51" s="7">
        <f>IF(E51="","",1)</f>
        <v>1</v>
      </c>
      <c r="I51" s="5">
        <v>0.14000000000000001</v>
      </c>
      <c r="J51" s="5">
        <v>0.17</v>
      </c>
      <c r="K51" s="5">
        <v>0.19</v>
      </c>
      <c r="L51" s="5">
        <v>0.54</v>
      </c>
      <c r="M51" s="5" t="s">
        <v>6158</v>
      </c>
      <c r="N51" s="5" t="s">
        <v>6171</v>
      </c>
      <c r="O51" s="5" t="s">
        <v>6173</v>
      </c>
    </row>
    <row r="52" spans="2:16" collapsed="1">
      <c r="B52" s="5" t="s">
        <v>50</v>
      </c>
      <c r="C52" s="5" t="str">
        <f>"Beat Light Wide - Grey/Silver"</f>
        <v>Beat Light Wide - Grey/Silver</v>
      </c>
      <c r="D52" s="42">
        <f>360</f>
        <v>360</v>
      </c>
      <c r="E52" s="5"/>
      <c r="F52" s="5"/>
      <c r="G52" s="42"/>
      <c r="H52" s="7"/>
      <c r="I52" s="5"/>
      <c r="J52" s="5"/>
      <c r="K52" s="5"/>
      <c r="L52" s="5"/>
      <c r="M52" s="5"/>
      <c r="N52" s="5"/>
      <c r="O52" s="5" t="s">
        <v>1039</v>
      </c>
      <c r="P52" s="3"/>
    </row>
    <row r="53" spans="2:16" hidden="1" outlineLevel="1">
      <c r="B53" s="5" t="s">
        <v>52</v>
      </c>
      <c r="C53" s="5" t="str">
        <f>"Beat Wide White Pendant EU"</f>
        <v>Beat Wide White Pendant EU</v>
      </c>
      <c r="D53" s="42">
        <f>360</f>
        <v>360</v>
      </c>
      <c r="E53" s="5" t="s">
        <v>53</v>
      </c>
      <c r="F53" s="5" t="str">
        <f>IF($E53="","","Beat Shade Wide- White")</f>
        <v>Beat Shade Wide- White</v>
      </c>
      <c r="G53" s="42">
        <f>IF($E53="","",290)</f>
        <v>290</v>
      </c>
      <c r="H53" s="7">
        <f>IF(E53="","",1)</f>
        <v>1</v>
      </c>
      <c r="I53" s="5">
        <v>0.42</v>
      </c>
      <c r="J53" s="5">
        <v>0.42</v>
      </c>
      <c r="K53" s="5">
        <v>0.24</v>
      </c>
      <c r="L53" s="5">
        <v>1.8</v>
      </c>
      <c r="M53" s="5" t="s">
        <v>6161</v>
      </c>
      <c r="N53" s="5" t="s">
        <v>6162</v>
      </c>
      <c r="O53" s="5" t="s">
        <v>6187</v>
      </c>
    </row>
    <row r="54" spans="2:16" hidden="1" outlineLevel="1">
      <c r="B54" s="5" t="s">
        <v>52</v>
      </c>
      <c r="C54" s="5" t="str">
        <f>"Beat Wide White Pendant EU"</f>
        <v>Beat Wide White Pendant EU</v>
      </c>
      <c r="D54" s="42">
        <f>360</f>
        <v>360</v>
      </c>
      <c r="E54" s="5" t="s">
        <v>34</v>
      </c>
      <c r="F54" s="5" t="str">
        <f>IF($E54="","","Standard Pendt Fitting EU W33")</f>
        <v>Standard Pendt Fitting EU W33</v>
      </c>
      <c r="G54" s="42">
        <f>IF($E54="","",70)</f>
        <v>70</v>
      </c>
      <c r="H54" s="7">
        <f>IF(E54="","",1)</f>
        <v>1</v>
      </c>
      <c r="I54" s="5">
        <v>0.14000000000000001</v>
      </c>
      <c r="J54" s="5">
        <v>0.21</v>
      </c>
      <c r="K54" s="5">
        <v>0.16</v>
      </c>
      <c r="L54" s="5">
        <v>0.59499999999999997</v>
      </c>
      <c r="M54" s="5" t="s">
        <v>6158</v>
      </c>
      <c r="N54" s="5" t="s">
        <v>6171</v>
      </c>
      <c r="O54" s="5" t="s">
        <v>6177</v>
      </c>
    </row>
    <row r="55" spans="2:16" collapsed="1">
      <c r="B55" s="5" t="s">
        <v>52</v>
      </c>
      <c r="C55" s="5" t="str">
        <f>"Beat Wide White Pendant EU"</f>
        <v>Beat Wide White Pendant EU</v>
      </c>
      <c r="D55" s="42">
        <f>360</f>
        <v>360</v>
      </c>
      <c r="E55" s="5"/>
      <c r="F55" s="5"/>
      <c r="G55" s="42"/>
      <c r="H55" s="7"/>
      <c r="I55" s="5"/>
      <c r="J55" s="5"/>
      <c r="K55" s="5"/>
      <c r="L55" s="5"/>
      <c r="M55" s="5"/>
      <c r="N55" s="5"/>
      <c r="O55" s="5" t="s">
        <v>1039</v>
      </c>
      <c r="P55" s="3"/>
    </row>
    <row r="56" spans="2:16" hidden="1" outlineLevel="1">
      <c r="B56" s="5" t="s">
        <v>54</v>
      </c>
      <c r="C56" s="5" t="str">
        <f>"Beat Stout Black Pendant EU"</f>
        <v>Beat Stout Black Pendant EU</v>
      </c>
      <c r="D56" s="42">
        <f>900</f>
        <v>900</v>
      </c>
      <c r="E56" s="5" t="s">
        <v>55</v>
      </c>
      <c r="F56" s="5" t="str">
        <f>IF($E56="","","Beat Shade Stout - Black")</f>
        <v>Beat Shade Stout - Black</v>
      </c>
      <c r="G56" s="42">
        <f>IF($E56="","",825)</f>
        <v>825</v>
      </c>
      <c r="H56" s="7">
        <f>IF(E56="","",1)</f>
        <v>1</v>
      </c>
      <c r="I56" s="5">
        <v>0.59</v>
      </c>
      <c r="J56" s="5">
        <v>0.59</v>
      </c>
      <c r="K56" s="5">
        <v>0.59</v>
      </c>
      <c r="L56" s="5">
        <v>10</v>
      </c>
      <c r="M56" s="5" t="s">
        <v>6161</v>
      </c>
      <c r="N56" s="5" t="s">
        <v>6162</v>
      </c>
      <c r="O56" s="5" t="s">
        <v>6188</v>
      </c>
    </row>
    <row r="57" spans="2:16" hidden="1" outlineLevel="1">
      <c r="B57" s="5" t="s">
        <v>54</v>
      </c>
      <c r="C57" s="5" t="str">
        <f>"Beat Stout Black Pendant EU"</f>
        <v>Beat Stout Black Pendant EU</v>
      </c>
      <c r="D57" s="42">
        <f>900</f>
        <v>900</v>
      </c>
      <c r="E57" s="5" t="s">
        <v>56</v>
      </c>
      <c r="F57" s="5" t="str">
        <f>IF($E57="","","Beat Pendant Large Fitting EU")</f>
        <v>Beat Pendant Large Fitting EU</v>
      </c>
      <c r="G57" s="42">
        <f>IF($E57="","",75)</f>
        <v>75</v>
      </c>
      <c r="H57" s="7">
        <f>IF(E57="","",1)</f>
        <v>1</v>
      </c>
      <c r="I57" s="5">
        <v>0.16</v>
      </c>
      <c r="J57" s="5">
        <v>0.17</v>
      </c>
      <c r="K57" s="5">
        <v>0.19</v>
      </c>
      <c r="L57" s="5">
        <v>0.7</v>
      </c>
      <c r="M57" s="5" t="s">
        <v>6158</v>
      </c>
      <c r="N57" s="5" t="s">
        <v>6171</v>
      </c>
      <c r="O57" s="5" t="s">
        <v>6189</v>
      </c>
    </row>
    <row r="58" spans="2:16" collapsed="1">
      <c r="B58" s="5" t="s">
        <v>54</v>
      </c>
      <c r="C58" s="5" t="str">
        <f>"Beat Stout Black Pendant EU"</f>
        <v>Beat Stout Black Pendant EU</v>
      </c>
      <c r="D58" s="42">
        <f>900</f>
        <v>900</v>
      </c>
      <c r="E58" s="5"/>
      <c r="F58" s="5"/>
      <c r="G58" s="42"/>
      <c r="H58" s="7"/>
      <c r="I58" s="5"/>
      <c r="J58" s="5"/>
      <c r="K58" s="5"/>
      <c r="L58" s="5"/>
      <c r="M58" s="5"/>
      <c r="N58" s="5"/>
      <c r="O58" s="5" t="s">
        <v>1039</v>
      </c>
      <c r="P58" s="3"/>
    </row>
    <row r="59" spans="2:16" hidden="1" outlineLevel="1">
      <c r="B59" s="5" t="s">
        <v>57</v>
      </c>
      <c r="C59" s="5" t="str">
        <f>"Beat Stout Brushed Pendant EU"</f>
        <v>Beat Stout Brushed Pendant EU</v>
      </c>
      <c r="D59" s="42">
        <f>900</f>
        <v>900</v>
      </c>
      <c r="E59" s="5" t="s">
        <v>58</v>
      </c>
      <c r="F59" s="5" t="str">
        <f>IF($E59="","","Beat Light - Stout - Brushed")</f>
        <v>Beat Light - Stout - Brushed</v>
      </c>
      <c r="G59" s="42">
        <f>IF($E59="","",825)</f>
        <v>825</v>
      </c>
      <c r="H59" s="7">
        <f>IF(E59="","",1)</f>
        <v>1</v>
      </c>
      <c r="I59" s="5">
        <v>0.59</v>
      </c>
      <c r="J59" s="5">
        <v>0.59</v>
      </c>
      <c r="K59" s="5">
        <v>0.59</v>
      </c>
      <c r="L59" s="5">
        <v>10</v>
      </c>
      <c r="M59" s="5" t="s">
        <v>6161</v>
      </c>
      <c r="N59" s="5" t="s">
        <v>6171</v>
      </c>
      <c r="O59" s="5" t="s">
        <v>6190</v>
      </c>
    </row>
    <row r="60" spans="2:16" hidden="1" outlineLevel="1">
      <c r="B60" s="5" t="s">
        <v>57</v>
      </c>
      <c r="C60" s="5" t="str">
        <f>"Beat Stout Brushed Pendant EU"</f>
        <v>Beat Stout Brushed Pendant EU</v>
      </c>
      <c r="D60" s="42">
        <f>900</f>
        <v>900</v>
      </c>
      <c r="E60" s="5" t="s">
        <v>56</v>
      </c>
      <c r="F60" s="5" t="str">
        <f>IF($E60="","","Beat Pendant Large Fitting EU")</f>
        <v>Beat Pendant Large Fitting EU</v>
      </c>
      <c r="G60" s="42">
        <f>IF($E60="","",75)</f>
        <v>75</v>
      </c>
      <c r="H60" s="7">
        <f>IF(E60="","",1)</f>
        <v>1</v>
      </c>
      <c r="I60" s="5">
        <v>0.16</v>
      </c>
      <c r="J60" s="5">
        <v>0.17</v>
      </c>
      <c r="K60" s="5">
        <v>0.19</v>
      </c>
      <c r="L60" s="5">
        <v>0.7</v>
      </c>
      <c r="M60" s="5" t="s">
        <v>6158</v>
      </c>
      <c r="N60" s="5" t="s">
        <v>6171</v>
      </c>
      <c r="O60" s="5" t="s">
        <v>6189</v>
      </c>
    </row>
    <row r="61" spans="2:16" collapsed="1">
      <c r="B61" s="5" t="s">
        <v>57</v>
      </c>
      <c r="C61" s="5" t="str">
        <f>"Beat Stout Brushed Pendant EU"</f>
        <v>Beat Stout Brushed Pendant EU</v>
      </c>
      <c r="D61" s="42">
        <f>900</f>
        <v>900</v>
      </c>
      <c r="E61" s="5"/>
      <c r="F61" s="5"/>
      <c r="G61" s="42"/>
      <c r="H61" s="7"/>
      <c r="I61" s="5"/>
      <c r="J61" s="5"/>
      <c r="K61" s="5"/>
      <c r="L61" s="5"/>
      <c r="M61" s="5"/>
      <c r="N61" s="5"/>
      <c r="O61" s="5" t="s">
        <v>1039</v>
      </c>
      <c r="P61" s="3"/>
    </row>
    <row r="62" spans="2:16" hidden="1" outlineLevel="1">
      <c r="B62" s="5" t="s">
        <v>59</v>
      </c>
      <c r="C62" s="5" t="str">
        <f>"Beat Light Stout - Grey/Silver"</f>
        <v>Beat Light Stout - Grey/Silver</v>
      </c>
      <c r="D62" s="42">
        <f>900</f>
        <v>900</v>
      </c>
      <c r="E62" s="5" t="s">
        <v>60</v>
      </c>
      <c r="F62" s="5" t="str">
        <f>IF($E62="","","Beat Light Stout - Grey/Silver")</f>
        <v>Beat Light Stout - Grey/Silver</v>
      </c>
      <c r="G62" s="42">
        <f>IF($E62="","",825)</f>
        <v>825</v>
      </c>
      <c r="H62" s="7">
        <f>IF(E62="","",1)</f>
        <v>1</v>
      </c>
      <c r="I62" s="5">
        <v>0.59</v>
      </c>
      <c r="J62" s="5">
        <v>0.59</v>
      </c>
      <c r="K62" s="5">
        <v>0.59</v>
      </c>
      <c r="L62" s="5">
        <v>10</v>
      </c>
      <c r="M62" s="5" t="s">
        <v>6161</v>
      </c>
      <c r="N62" s="5" t="s">
        <v>6171</v>
      </c>
      <c r="O62" s="5" t="s">
        <v>6191</v>
      </c>
    </row>
    <row r="63" spans="2:16" hidden="1" outlineLevel="1">
      <c r="B63" s="5" t="s">
        <v>59</v>
      </c>
      <c r="C63" s="5" t="str">
        <f>"Beat Light Stout - Grey/Silver"</f>
        <v>Beat Light Stout - Grey/Silver</v>
      </c>
      <c r="D63" s="42">
        <f>900</f>
        <v>900</v>
      </c>
      <c r="E63" s="5" t="s">
        <v>56</v>
      </c>
      <c r="F63" s="5" t="str">
        <f>IF($E63="","","Beat Pendant Large Fitting EU")</f>
        <v>Beat Pendant Large Fitting EU</v>
      </c>
      <c r="G63" s="42">
        <f>IF($E63="","",75)</f>
        <v>75</v>
      </c>
      <c r="H63" s="7">
        <f>IF(E63="","",1)</f>
        <v>1</v>
      </c>
      <c r="I63" s="5">
        <v>0.16</v>
      </c>
      <c r="J63" s="5">
        <v>0.17</v>
      </c>
      <c r="K63" s="5">
        <v>0.19</v>
      </c>
      <c r="L63" s="5">
        <v>0.7</v>
      </c>
      <c r="M63" s="5" t="s">
        <v>6158</v>
      </c>
      <c r="N63" s="5" t="s">
        <v>6171</v>
      </c>
      <c r="O63" s="5" t="s">
        <v>6189</v>
      </c>
    </row>
    <row r="64" spans="2:16" collapsed="1">
      <c r="B64" s="5" t="s">
        <v>59</v>
      </c>
      <c r="C64" s="5" t="str">
        <f>"Beat Light Stout - Grey/Silver"</f>
        <v>Beat Light Stout - Grey/Silver</v>
      </c>
      <c r="D64" s="42">
        <f>900</f>
        <v>900</v>
      </c>
      <c r="E64" s="5"/>
      <c r="F64" s="5"/>
      <c r="G64" s="42"/>
      <c r="H64" s="7"/>
      <c r="I64" s="5"/>
      <c r="J64" s="5"/>
      <c r="K64" s="5"/>
      <c r="L64" s="5"/>
      <c r="M64" s="5"/>
      <c r="N64" s="5"/>
      <c r="O64" s="5" t="s">
        <v>1039</v>
      </c>
      <c r="P64" s="3"/>
    </row>
    <row r="65" spans="2:16" hidden="1" outlineLevel="1">
      <c r="B65" s="5" t="s">
        <v>61</v>
      </c>
      <c r="C65" s="5" t="str">
        <f>"Beat Flat Black Pendant EU"</f>
        <v>Beat Flat Black Pendant EU</v>
      </c>
      <c r="D65" s="42">
        <f>460</f>
        <v>460</v>
      </c>
      <c r="E65" s="5" t="s">
        <v>62</v>
      </c>
      <c r="F65" s="5" t="str">
        <f>IF($E65="","","Beat Shade Flat Black")</f>
        <v>Beat Shade Flat Black</v>
      </c>
      <c r="G65" s="42">
        <f>IF($E65="","",385)</f>
        <v>385</v>
      </c>
      <c r="H65" s="7">
        <f>IF(E65="","",1)</f>
        <v>1</v>
      </c>
      <c r="I65" s="5">
        <v>0.27</v>
      </c>
      <c r="J65" s="5">
        <v>0.65</v>
      </c>
      <c r="K65" s="5">
        <v>0.65</v>
      </c>
      <c r="L65" s="5">
        <v>6.6</v>
      </c>
      <c r="M65" s="5" t="s">
        <v>6161</v>
      </c>
      <c r="N65" s="5" t="s">
        <v>6162</v>
      </c>
      <c r="O65" s="5" t="s">
        <v>6192</v>
      </c>
    </row>
    <row r="66" spans="2:16" hidden="1" outlineLevel="1">
      <c r="B66" s="5" t="s">
        <v>61</v>
      </c>
      <c r="C66" s="5" t="str">
        <f>"Beat Flat Black Pendant EU"</f>
        <v>Beat Flat Black Pendant EU</v>
      </c>
      <c r="D66" s="42">
        <f>460</f>
        <v>460</v>
      </c>
      <c r="E66" s="5" t="s">
        <v>56</v>
      </c>
      <c r="F66" s="5" t="str">
        <f>IF($E66="","","Beat Pendant Large Fitting EU")</f>
        <v>Beat Pendant Large Fitting EU</v>
      </c>
      <c r="G66" s="42">
        <f>IF($E66="","",75)</f>
        <v>75</v>
      </c>
      <c r="H66" s="7">
        <f>IF(E66="","",1)</f>
        <v>1</v>
      </c>
      <c r="I66" s="5">
        <v>0.16</v>
      </c>
      <c r="J66" s="5">
        <v>0.17</v>
      </c>
      <c r="K66" s="5">
        <v>0.19</v>
      </c>
      <c r="L66" s="5">
        <v>0.7</v>
      </c>
      <c r="M66" s="5" t="s">
        <v>6158</v>
      </c>
      <c r="N66" s="5" t="s">
        <v>6171</v>
      </c>
      <c r="O66" s="5" t="s">
        <v>6189</v>
      </c>
    </row>
    <row r="67" spans="2:16" collapsed="1">
      <c r="B67" s="5" t="s">
        <v>61</v>
      </c>
      <c r="C67" s="5" t="str">
        <f>"Beat Flat Black Pendant EU"</f>
        <v>Beat Flat Black Pendant EU</v>
      </c>
      <c r="D67" s="42">
        <f>460</f>
        <v>460</v>
      </c>
      <c r="E67" s="5"/>
      <c r="F67" s="5"/>
      <c r="G67" s="42"/>
      <c r="H67" s="7"/>
      <c r="I67" s="5"/>
      <c r="J67" s="5"/>
      <c r="K67" s="5"/>
      <c r="L67" s="5"/>
      <c r="M67" s="5"/>
      <c r="N67" s="5"/>
      <c r="O67" s="5" t="s">
        <v>1039</v>
      </c>
      <c r="P67" s="3"/>
    </row>
    <row r="68" spans="2:16" hidden="1" outlineLevel="1">
      <c r="B68" s="5" t="s">
        <v>63</v>
      </c>
      <c r="C68" s="5" t="str">
        <f>"Beat Waist Black Pendant EU"</f>
        <v>Beat Waist Black Pendant EU</v>
      </c>
      <c r="D68" s="42">
        <f>460</f>
        <v>460</v>
      </c>
      <c r="E68" s="5" t="s">
        <v>64</v>
      </c>
      <c r="F68" s="5" t="str">
        <f>IF($E68="","","Beat Shade Waist Black")</f>
        <v>Beat Shade Waist Black</v>
      </c>
      <c r="G68" s="42">
        <f>IF($E68="","",385)</f>
        <v>385</v>
      </c>
      <c r="H68" s="7">
        <f>IF(E68="","",1)</f>
        <v>1</v>
      </c>
      <c r="I68" s="5">
        <v>0.42</v>
      </c>
      <c r="J68" s="5">
        <v>0.48</v>
      </c>
      <c r="K68" s="5">
        <v>0.48</v>
      </c>
      <c r="L68" s="5">
        <v>5.2</v>
      </c>
      <c r="M68" s="5" t="s">
        <v>6161</v>
      </c>
      <c r="N68" s="5" t="s">
        <v>6162</v>
      </c>
      <c r="O68" s="5" t="s">
        <v>6193</v>
      </c>
    </row>
    <row r="69" spans="2:16" hidden="1" outlineLevel="1">
      <c r="B69" s="5" t="s">
        <v>63</v>
      </c>
      <c r="C69" s="5" t="str">
        <f>"Beat Waist Black Pendant EU"</f>
        <v>Beat Waist Black Pendant EU</v>
      </c>
      <c r="D69" s="42">
        <f>460</f>
        <v>460</v>
      </c>
      <c r="E69" s="5" t="s">
        <v>56</v>
      </c>
      <c r="F69" s="5" t="str">
        <f>IF($E69="","","Beat Pendant Large Fitting EU")</f>
        <v>Beat Pendant Large Fitting EU</v>
      </c>
      <c r="G69" s="42">
        <f>IF($E69="","",75)</f>
        <v>75</v>
      </c>
      <c r="H69" s="7">
        <f>IF(E69="","",1)</f>
        <v>1</v>
      </c>
      <c r="I69" s="5">
        <v>0.16</v>
      </c>
      <c r="J69" s="5">
        <v>0.17</v>
      </c>
      <c r="K69" s="5">
        <v>0.19</v>
      </c>
      <c r="L69" s="5">
        <v>0.7</v>
      </c>
      <c r="M69" s="5" t="s">
        <v>6158</v>
      </c>
      <c r="N69" s="5" t="s">
        <v>6171</v>
      </c>
      <c r="O69" s="5" t="s">
        <v>6189</v>
      </c>
    </row>
    <row r="70" spans="2:16" collapsed="1">
      <c r="B70" s="5" t="s">
        <v>63</v>
      </c>
      <c r="C70" s="5" t="str">
        <f>"Beat Waist Black Pendant EU"</f>
        <v>Beat Waist Black Pendant EU</v>
      </c>
      <c r="D70" s="42">
        <f>460</f>
        <v>460</v>
      </c>
      <c r="E70" s="5"/>
      <c r="F70" s="5"/>
      <c r="G70" s="42"/>
      <c r="H70" s="7"/>
      <c r="I70" s="5"/>
      <c r="J70" s="5"/>
      <c r="K70" s="5"/>
      <c r="L70" s="5"/>
      <c r="M70" s="5"/>
      <c r="N70" s="5"/>
      <c r="O70" s="5" t="s">
        <v>1039</v>
      </c>
      <c r="P70" s="3"/>
    </row>
    <row r="71" spans="2:16">
      <c r="B71" s="5" t="s">
        <v>65</v>
      </c>
      <c r="C71" s="5" t="str">
        <f>"Beat Table Black EU"</f>
        <v>Beat Table Black EU</v>
      </c>
      <c r="D71" s="42">
        <f>470</f>
        <v>470</v>
      </c>
      <c r="E71" s="5"/>
      <c r="F71" s="5"/>
      <c r="G71" s="42"/>
      <c r="H71" s="7">
        <v>1</v>
      </c>
      <c r="I71" s="5">
        <v>0.35</v>
      </c>
      <c r="J71" s="5">
        <v>0.6</v>
      </c>
      <c r="K71" s="5">
        <v>0.36</v>
      </c>
      <c r="L71" s="5">
        <v>7</v>
      </c>
      <c r="M71" s="5" t="s">
        <v>6161</v>
      </c>
      <c r="N71" s="5" t="s">
        <v>6162</v>
      </c>
      <c r="O71" s="5" t="s">
        <v>6194</v>
      </c>
    </row>
    <row r="72" spans="2:16">
      <c r="B72" s="5" t="s">
        <v>66</v>
      </c>
      <c r="C72" s="5" t="str">
        <f>"Beat Table Brass EU"</f>
        <v>Beat Table Brass EU</v>
      </c>
      <c r="D72" s="42">
        <f>470</f>
        <v>470</v>
      </c>
      <c r="E72" s="5"/>
      <c r="F72" s="5"/>
      <c r="G72" s="42"/>
      <c r="H72" s="7">
        <v>1</v>
      </c>
      <c r="I72" s="5">
        <v>0.35</v>
      </c>
      <c r="J72" s="5">
        <v>0.6</v>
      </c>
      <c r="K72" s="5">
        <v>0.36</v>
      </c>
      <c r="L72" s="5">
        <v>7</v>
      </c>
      <c r="M72" s="5" t="s">
        <v>6161</v>
      </c>
      <c r="N72" s="5" t="s">
        <v>6162</v>
      </c>
      <c r="O72" s="5" t="s">
        <v>6195</v>
      </c>
    </row>
    <row r="73" spans="2:16">
      <c r="B73" s="5" t="s">
        <v>67</v>
      </c>
      <c r="C73" s="5" t="str">
        <f>"Beat Wall Black EU"</f>
        <v>Beat Wall Black EU</v>
      </c>
      <c r="D73" s="42">
        <f>360</f>
        <v>360</v>
      </c>
      <c r="E73" s="5"/>
      <c r="F73" s="5"/>
      <c r="G73" s="42"/>
      <c r="H73" s="7">
        <v>1</v>
      </c>
      <c r="I73" s="5">
        <v>0.27</v>
      </c>
      <c r="J73" s="5">
        <v>0.28999999999999998</v>
      </c>
      <c r="K73" s="5">
        <v>0.27</v>
      </c>
      <c r="L73" s="5">
        <v>2.5</v>
      </c>
      <c r="M73" s="5" t="s">
        <v>6161</v>
      </c>
      <c r="N73" s="5" t="s">
        <v>6162</v>
      </c>
      <c r="O73" s="5" t="s">
        <v>6196</v>
      </c>
    </row>
    <row r="74" spans="2:16">
      <c r="B74" s="5" t="s">
        <v>68</v>
      </c>
      <c r="C74" s="5" t="str">
        <f>"Bell Chrome Floor OBS EU"</f>
        <v>Bell Chrome Floor OBS EU</v>
      </c>
      <c r="D74" s="42">
        <f>910</f>
        <v>910</v>
      </c>
      <c r="E74" s="5"/>
      <c r="F74" s="5"/>
      <c r="G74" s="42"/>
      <c r="H74" s="7">
        <v>1</v>
      </c>
      <c r="I74" s="5">
        <v>0.35</v>
      </c>
      <c r="J74" s="5">
        <v>1.63</v>
      </c>
      <c r="K74" s="5">
        <v>0.63</v>
      </c>
      <c r="L74" s="5">
        <v>28.4</v>
      </c>
      <c r="M74" s="5" t="s">
        <v>6158</v>
      </c>
      <c r="N74" s="5" t="s">
        <v>6166</v>
      </c>
      <c r="O74" s="5" t="s">
        <v>6197</v>
      </c>
    </row>
    <row r="75" spans="2:16">
      <c r="B75" s="5" t="s">
        <v>69</v>
      </c>
      <c r="C75" s="5" t="str">
        <f>"Bell Table Light Brass EU"</f>
        <v>Bell Table Light Brass EU</v>
      </c>
      <c r="D75" s="42">
        <f>485</f>
        <v>485</v>
      </c>
      <c r="E75" s="5"/>
      <c r="F75" s="5"/>
      <c r="G75" s="42"/>
      <c r="H75" s="7">
        <v>1</v>
      </c>
      <c r="I75" s="5">
        <v>0.66</v>
      </c>
      <c r="J75" s="5">
        <v>0.34</v>
      </c>
      <c r="K75" s="5">
        <v>0.34</v>
      </c>
      <c r="L75" s="5">
        <v>7.3</v>
      </c>
      <c r="M75" s="5" t="s">
        <v>6158</v>
      </c>
      <c r="N75" s="5" t="s">
        <v>6166</v>
      </c>
      <c r="O75" s="5" t="s">
        <v>6198</v>
      </c>
    </row>
    <row r="76" spans="2:16">
      <c r="B76" s="5" t="s">
        <v>70</v>
      </c>
      <c r="C76" s="5" t="str">
        <f>"Bell Table Light Chrome EU"</f>
        <v>Bell Table Light Chrome EU</v>
      </c>
      <c r="D76" s="42">
        <f>500</f>
        <v>500</v>
      </c>
      <c r="E76" s="5"/>
      <c r="F76" s="5"/>
      <c r="G76" s="42"/>
      <c r="H76" s="7">
        <v>1</v>
      </c>
      <c r="I76" s="5">
        <v>0.67</v>
      </c>
      <c r="J76" s="5">
        <v>0.35</v>
      </c>
      <c r="K76" s="5">
        <v>0.35</v>
      </c>
      <c r="L76" s="5">
        <v>7.2</v>
      </c>
      <c r="M76" s="5" t="s">
        <v>6158</v>
      </c>
      <c r="N76" s="5" t="s">
        <v>6166</v>
      </c>
      <c r="O76" s="5" t="s">
        <v>6199</v>
      </c>
    </row>
    <row r="77" spans="2:16">
      <c r="B77" s="5" t="s">
        <v>71</v>
      </c>
      <c r="C77" s="5" t="str">
        <f>"Bell Table Light Copper EU"</f>
        <v>Bell Table Light Copper EU</v>
      </c>
      <c r="D77" s="42">
        <f>485</f>
        <v>485</v>
      </c>
      <c r="E77" s="5"/>
      <c r="F77" s="5"/>
      <c r="G77" s="42"/>
      <c r="H77" s="7">
        <v>1</v>
      </c>
      <c r="I77" s="5">
        <v>0.66</v>
      </c>
      <c r="J77" s="5">
        <v>0.34</v>
      </c>
      <c r="K77" s="5">
        <v>0.34</v>
      </c>
      <c r="L77" s="5">
        <v>7.3</v>
      </c>
      <c r="M77" s="5" t="s">
        <v>6158</v>
      </c>
      <c r="N77" s="5" t="s">
        <v>6166</v>
      </c>
      <c r="O77" s="5" t="s">
        <v>6200</v>
      </c>
    </row>
    <row r="78" spans="2:16">
      <c r="B78" s="5" t="s">
        <v>72</v>
      </c>
      <c r="C78" s="5" t="str">
        <f>"Bell Table Light Black EU"</f>
        <v>Bell Table Light Black EU</v>
      </c>
      <c r="D78" s="42">
        <f>485</f>
        <v>485</v>
      </c>
      <c r="E78" s="5"/>
      <c r="F78" s="5"/>
      <c r="G78" s="42"/>
      <c r="H78" s="7">
        <v>1</v>
      </c>
      <c r="I78" s="5">
        <v>0.66</v>
      </c>
      <c r="J78" s="5">
        <v>0.34</v>
      </c>
      <c r="K78" s="5">
        <v>0.34</v>
      </c>
      <c r="L78" s="5">
        <v>6.7</v>
      </c>
      <c r="M78" s="5" t="s">
        <v>6158</v>
      </c>
      <c r="N78" s="5" t="s">
        <v>6166</v>
      </c>
      <c r="O78" s="5" t="s">
        <v>6201</v>
      </c>
    </row>
    <row r="79" spans="2:16">
      <c r="B79" s="5" t="s">
        <v>73</v>
      </c>
      <c r="C79" s="5" t="str">
        <f>"Bell Table Light Black Lrg EU"</f>
        <v>Bell Table Light Black Lrg EU</v>
      </c>
      <c r="D79" s="42">
        <f>780</f>
        <v>780</v>
      </c>
      <c r="E79" s="5"/>
      <c r="F79" s="5"/>
      <c r="G79" s="42"/>
      <c r="H79" s="7">
        <v>1</v>
      </c>
      <c r="I79" s="5">
        <v>0.77500000000000002</v>
      </c>
      <c r="J79" s="5">
        <v>0.46500000000000002</v>
      </c>
      <c r="K79" s="5">
        <v>0.46500000000000002</v>
      </c>
      <c r="L79" s="5">
        <v>10</v>
      </c>
      <c r="M79" s="5" t="s">
        <v>6158</v>
      </c>
      <c r="N79" s="5" t="s">
        <v>6166</v>
      </c>
      <c r="O79" s="5" t="s">
        <v>6202</v>
      </c>
    </row>
    <row r="80" spans="2:16">
      <c r="B80" s="5" t="s">
        <v>74</v>
      </c>
      <c r="C80" s="5" t="str">
        <f>"Bell Table Light Chrome Lrg EU"</f>
        <v>Bell Table Light Chrome Lrg EU</v>
      </c>
      <c r="D80" s="42">
        <f>780</f>
        <v>780</v>
      </c>
      <c r="E80" s="5"/>
      <c r="F80" s="5"/>
      <c r="G80" s="42"/>
      <c r="H80" s="7">
        <v>1</v>
      </c>
      <c r="I80" s="5">
        <v>0.77500000000000002</v>
      </c>
      <c r="J80" s="5">
        <v>0.46500000000000002</v>
      </c>
      <c r="K80" s="5">
        <v>0.46500000000000002</v>
      </c>
      <c r="L80" s="5">
        <v>10</v>
      </c>
      <c r="M80" s="5" t="s">
        <v>6158</v>
      </c>
      <c r="N80" s="5" t="s">
        <v>6166</v>
      </c>
      <c r="O80" s="5" t="s">
        <v>6203</v>
      </c>
    </row>
    <row r="81" spans="2:15">
      <c r="B81" s="5" t="s">
        <v>75</v>
      </c>
      <c r="C81" s="5" t="str">
        <f>"Boom Task Light Aluminium EU"</f>
        <v>Boom Task Light Aluminium EU</v>
      </c>
      <c r="D81" s="42">
        <f>200</f>
        <v>200</v>
      </c>
      <c r="E81" s="5"/>
      <c r="F81" s="5"/>
      <c r="G81" s="42"/>
      <c r="H81" s="7">
        <v>1</v>
      </c>
      <c r="I81" s="5">
        <v>0.14499999999999999</v>
      </c>
      <c r="J81" s="5">
        <v>0.255</v>
      </c>
      <c r="K81" s="5">
        <v>0.55000000000000004</v>
      </c>
      <c r="L81" s="5">
        <v>8.86</v>
      </c>
      <c r="M81" s="5" t="s">
        <v>6158</v>
      </c>
      <c r="N81" s="5" t="s">
        <v>6166</v>
      </c>
      <c r="O81" s="5" t="s">
        <v>6204</v>
      </c>
    </row>
    <row r="82" spans="2:15">
      <c r="B82" s="5" t="s">
        <v>76</v>
      </c>
      <c r="C82" s="5" t="str">
        <f>"Boom Task Light Black EU"</f>
        <v>Boom Task Light Black EU</v>
      </c>
      <c r="D82" s="42">
        <f>200</f>
        <v>200</v>
      </c>
      <c r="E82" s="5"/>
      <c r="F82" s="5"/>
      <c r="G82" s="42"/>
      <c r="H82" s="7">
        <v>1</v>
      </c>
      <c r="I82" s="5">
        <v>0.14499999999999999</v>
      </c>
      <c r="J82" s="5">
        <v>0.255</v>
      </c>
      <c r="K82" s="5">
        <v>0.55000000000000004</v>
      </c>
      <c r="L82" s="5">
        <v>8.86</v>
      </c>
      <c r="M82" s="5" t="s">
        <v>6158</v>
      </c>
      <c r="N82" s="5" t="s">
        <v>6166</v>
      </c>
      <c r="O82" s="5" t="s">
        <v>6205</v>
      </c>
    </row>
    <row r="83" spans="2:15">
      <c r="B83" s="5" t="s">
        <v>77</v>
      </c>
      <c r="C83" s="5" t="str">
        <f>"Copper Round 45cm Pendant EU"</f>
        <v>Copper Round 45cm Pendant EU</v>
      </c>
      <c r="D83" s="42">
        <f>480</f>
        <v>480</v>
      </c>
      <c r="E83" s="5"/>
      <c r="F83" s="5"/>
      <c r="G83" s="42"/>
      <c r="H83" s="7">
        <v>1</v>
      </c>
      <c r="I83" s="5">
        <v>0.56999999999999995</v>
      </c>
      <c r="J83" s="5">
        <v>0.48</v>
      </c>
      <c r="K83" s="5">
        <v>0.48</v>
      </c>
      <c r="L83" s="5">
        <v>3.7</v>
      </c>
      <c r="M83" s="5" t="s">
        <v>6206</v>
      </c>
      <c r="N83" s="5" t="s">
        <v>6171</v>
      </c>
      <c r="O83" s="5" t="s">
        <v>6207</v>
      </c>
    </row>
    <row r="84" spans="2:15">
      <c r="B84" s="5" t="s">
        <v>78</v>
      </c>
      <c r="C84" s="5" t="str">
        <f>"Copper BLACK Round 45 Pndt EU"</f>
        <v>Copper BLACK Round 45 Pndt EU</v>
      </c>
      <c r="D84" s="42">
        <f>480</f>
        <v>480</v>
      </c>
      <c r="E84" s="5"/>
      <c r="F84" s="5"/>
      <c r="G84" s="42"/>
      <c r="H84" s="7">
        <v>1</v>
      </c>
      <c r="I84" s="5">
        <v>0.56999999999999995</v>
      </c>
      <c r="J84" s="5">
        <v>0.48</v>
      </c>
      <c r="K84" s="5">
        <v>0.48</v>
      </c>
      <c r="L84" s="5">
        <v>3.7</v>
      </c>
      <c r="M84" s="5" t="s">
        <v>6206</v>
      </c>
      <c r="N84" s="5" t="s">
        <v>6171</v>
      </c>
      <c r="O84" s="5" t="s">
        <v>6208</v>
      </c>
    </row>
    <row r="85" spans="2:15">
      <c r="B85" s="5" t="s">
        <v>79</v>
      </c>
      <c r="C85" s="5" t="str">
        <f>"Copper CHROME Round 45 Pndt EU"</f>
        <v>Copper CHROME Round 45 Pndt EU</v>
      </c>
      <c r="D85" s="42">
        <f>480</f>
        <v>480</v>
      </c>
      <c r="E85" s="5"/>
      <c r="F85" s="5"/>
      <c r="G85" s="42"/>
      <c r="H85" s="7">
        <v>1</v>
      </c>
      <c r="I85" s="5">
        <v>0.56999999999999995</v>
      </c>
      <c r="J85" s="5">
        <v>0.48</v>
      </c>
      <c r="K85" s="5">
        <v>0.48</v>
      </c>
      <c r="L85" s="5">
        <v>3.7</v>
      </c>
      <c r="M85" s="5" t="s">
        <v>6206</v>
      </c>
      <c r="N85" s="5" t="s">
        <v>6171</v>
      </c>
      <c r="O85" s="5" t="s">
        <v>6209</v>
      </c>
    </row>
    <row r="86" spans="2:15">
      <c r="B86" s="5" t="s">
        <v>80</v>
      </c>
      <c r="C86" s="5" t="str">
        <f>"Copper GOLD Round 45 Pndt EU"</f>
        <v>Copper GOLD Round 45 Pndt EU</v>
      </c>
      <c r="D86" s="42">
        <f>480</f>
        <v>480</v>
      </c>
      <c r="E86" s="5"/>
      <c r="F86" s="5"/>
      <c r="G86" s="42"/>
      <c r="H86" s="7">
        <v>1</v>
      </c>
      <c r="I86" s="5">
        <v>0.56999999999999995</v>
      </c>
      <c r="J86" s="5">
        <v>0.48</v>
      </c>
      <c r="K86" s="5">
        <v>0.48</v>
      </c>
      <c r="L86" s="5">
        <v>3.7</v>
      </c>
      <c r="M86" s="5" t="s">
        <v>6206</v>
      </c>
      <c r="N86" s="5" t="s">
        <v>6171</v>
      </c>
      <c r="O86" s="5" t="s">
        <v>6210</v>
      </c>
    </row>
    <row r="87" spans="2:15">
      <c r="B87" s="5" t="s">
        <v>81</v>
      </c>
      <c r="C87" s="5" t="str">
        <f>"Copper Round 25cm Pendant EU"</f>
        <v>Copper Round 25cm Pendant EU</v>
      </c>
      <c r="D87" s="42">
        <f>315</f>
        <v>315</v>
      </c>
      <c r="E87" s="5"/>
      <c r="F87" s="5"/>
      <c r="G87" s="42"/>
      <c r="H87" s="7">
        <v>1</v>
      </c>
      <c r="I87" s="5">
        <v>0.42</v>
      </c>
      <c r="J87" s="5">
        <v>0.31</v>
      </c>
      <c r="K87" s="5">
        <v>0.31</v>
      </c>
      <c r="L87" s="5">
        <v>1.7</v>
      </c>
      <c r="M87" s="5" t="s">
        <v>6206</v>
      </c>
      <c r="N87" s="5" t="s">
        <v>6171</v>
      </c>
      <c r="O87" s="5" t="s">
        <v>6211</v>
      </c>
    </row>
    <row r="88" spans="2:15">
      <c r="B88" s="5" t="s">
        <v>82</v>
      </c>
      <c r="C88" s="5" t="str">
        <f>"Copper BLACK Round 25 Pndt EU"</f>
        <v>Copper BLACK Round 25 Pndt EU</v>
      </c>
      <c r="D88" s="42">
        <f>315</f>
        <v>315</v>
      </c>
      <c r="E88" s="5"/>
      <c r="F88" s="5"/>
      <c r="G88" s="42"/>
      <c r="H88" s="7">
        <v>1</v>
      </c>
      <c r="I88" s="5">
        <v>0.31</v>
      </c>
      <c r="J88" s="5">
        <v>0.31</v>
      </c>
      <c r="K88" s="5">
        <v>0.41</v>
      </c>
      <c r="L88" s="5">
        <v>1.7</v>
      </c>
      <c r="M88" s="5" t="s">
        <v>6206</v>
      </c>
      <c r="N88" s="5" t="s">
        <v>6171</v>
      </c>
      <c r="O88" s="5" t="s">
        <v>6212</v>
      </c>
    </row>
    <row r="89" spans="2:15">
      <c r="B89" s="5" t="s">
        <v>83</v>
      </c>
      <c r="C89" s="5" t="str">
        <f>"Copper CHROME Round 25 Pndt EU"</f>
        <v>Copper CHROME Round 25 Pndt EU</v>
      </c>
      <c r="D89" s="42">
        <f>315</f>
        <v>315</v>
      </c>
      <c r="E89" s="5"/>
      <c r="F89" s="5"/>
      <c r="G89" s="42"/>
      <c r="H89" s="7">
        <v>1</v>
      </c>
      <c r="I89" s="5">
        <v>0.31</v>
      </c>
      <c r="J89" s="5">
        <v>0.31</v>
      </c>
      <c r="K89" s="5">
        <v>0.41</v>
      </c>
      <c r="L89" s="5">
        <v>1.7</v>
      </c>
      <c r="M89" s="5" t="s">
        <v>6206</v>
      </c>
      <c r="N89" s="5" t="s">
        <v>6171</v>
      </c>
      <c r="O89" s="5" t="s">
        <v>6213</v>
      </c>
    </row>
    <row r="90" spans="2:15">
      <c r="B90" s="5" t="s">
        <v>84</v>
      </c>
      <c r="C90" s="5" t="str">
        <f>"Copper GOLD Round 25 Pndt EU"</f>
        <v>Copper GOLD Round 25 Pndt EU</v>
      </c>
      <c r="D90" s="42">
        <f>315</f>
        <v>315</v>
      </c>
      <c r="E90" s="5"/>
      <c r="F90" s="5"/>
      <c r="G90" s="42"/>
      <c r="H90" s="7">
        <v>1</v>
      </c>
      <c r="I90" s="5">
        <v>0.31</v>
      </c>
      <c r="J90" s="5">
        <v>0.31</v>
      </c>
      <c r="K90" s="5">
        <v>0.41</v>
      </c>
      <c r="L90" s="5">
        <v>1.7</v>
      </c>
      <c r="M90" s="5" t="s">
        <v>6206</v>
      </c>
      <c r="N90" s="5" t="s">
        <v>6171</v>
      </c>
      <c r="O90" s="5" t="s">
        <v>6214</v>
      </c>
    </row>
    <row r="91" spans="2:15">
      <c r="B91" s="5" t="s">
        <v>85</v>
      </c>
      <c r="C91" s="5" t="str">
        <f>"Copper Wide Pendant EU"</f>
        <v>Copper Wide Pendant EU</v>
      </c>
      <c r="D91" s="42">
        <f>490</f>
        <v>490</v>
      </c>
      <c r="E91" s="5"/>
      <c r="F91" s="5"/>
      <c r="G91" s="42"/>
      <c r="H91" s="7">
        <v>1</v>
      </c>
      <c r="I91" s="5">
        <v>0.36</v>
      </c>
      <c r="J91" s="5">
        <v>0.55000000000000004</v>
      </c>
      <c r="K91" s="5">
        <v>0.55000000000000004</v>
      </c>
      <c r="L91" s="5">
        <v>3.3</v>
      </c>
      <c r="M91" s="5" t="s">
        <v>6206</v>
      </c>
      <c r="N91" s="5" t="s">
        <v>6171</v>
      </c>
      <c r="O91" s="5" t="s">
        <v>6215</v>
      </c>
    </row>
    <row r="92" spans="2:15">
      <c r="B92" s="5" t="s">
        <v>86</v>
      </c>
      <c r="C92" s="5" t="str">
        <f>"Copper BLACK Wide Pndt EU"</f>
        <v>Copper BLACK Wide Pndt EU</v>
      </c>
      <c r="D92" s="42">
        <f>480</f>
        <v>480</v>
      </c>
      <c r="E92" s="5"/>
      <c r="F92" s="5"/>
      <c r="G92" s="42"/>
      <c r="H92" s="7">
        <v>1</v>
      </c>
      <c r="I92" s="5">
        <v>0.36</v>
      </c>
      <c r="J92" s="5">
        <v>0.55000000000000004</v>
      </c>
      <c r="K92" s="5">
        <v>0.55000000000000004</v>
      </c>
      <c r="L92" s="5">
        <v>3.3</v>
      </c>
      <c r="M92" s="5" t="s">
        <v>6206</v>
      </c>
      <c r="N92" s="5" t="s">
        <v>6171</v>
      </c>
      <c r="O92" s="5" t="s">
        <v>6216</v>
      </c>
    </row>
    <row r="93" spans="2:15">
      <c r="B93" s="5" t="s">
        <v>87</v>
      </c>
      <c r="C93" s="5" t="str">
        <f>"Copper CHROME Wide Pndt EU"</f>
        <v>Copper CHROME Wide Pndt EU</v>
      </c>
      <c r="D93" s="42">
        <f>480</f>
        <v>480</v>
      </c>
      <c r="E93" s="5"/>
      <c r="F93" s="5"/>
      <c r="G93" s="42"/>
      <c r="H93" s="7">
        <v>1</v>
      </c>
      <c r="I93" s="5">
        <v>0.36</v>
      </c>
      <c r="J93" s="5">
        <v>0.55000000000000004</v>
      </c>
      <c r="K93" s="5">
        <v>0.55000000000000004</v>
      </c>
      <c r="L93" s="5">
        <v>3.3</v>
      </c>
      <c r="M93" s="5" t="s">
        <v>6206</v>
      </c>
      <c r="N93" s="5" t="s">
        <v>6171</v>
      </c>
      <c r="O93" s="5" t="s">
        <v>6217</v>
      </c>
    </row>
    <row r="94" spans="2:15">
      <c r="B94" s="5" t="s">
        <v>88</v>
      </c>
      <c r="C94" s="5" t="str">
        <f>"Copper GOLD Wide Pndt EU"</f>
        <v>Copper GOLD Wide Pndt EU</v>
      </c>
      <c r="D94" s="42">
        <f>480</f>
        <v>480</v>
      </c>
      <c r="E94" s="5"/>
      <c r="F94" s="5"/>
      <c r="G94" s="42"/>
      <c r="H94" s="7">
        <v>1</v>
      </c>
      <c r="I94" s="5">
        <v>0.36</v>
      </c>
      <c r="J94" s="5">
        <v>0.55000000000000004</v>
      </c>
      <c r="K94" s="5">
        <v>0.55000000000000004</v>
      </c>
      <c r="L94" s="5">
        <v>3.3</v>
      </c>
      <c r="M94" s="5" t="s">
        <v>6206</v>
      </c>
      <c r="N94" s="5" t="s">
        <v>6171</v>
      </c>
      <c r="O94" s="5" t="s">
        <v>6218</v>
      </c>
    </row>
    <row r="95" spans="2:15">
      <c r="B95" s="5" t="s">
        <v>89</v>
      </c>
      <c r="C95" s="5" t="str">
        <f>"Cut Short Blue Pendant EU"</f>
        <v>Cut Short Blue Pendant EU</v>
      </c>
      <c r="D95" s="42">
        <f>480</f>
        <v>480</v>
      </c>
      <c r="E95" s="5"/>
      <c r="F95" s="5"/>
      <c r="G95" s="42"/>
      <c r="H95" s="7">
        <v>1</v>
      </c>
      <c r="I95" s="5">
        <v>0.4</v>
      </c>
      <c r="J95" s="5">
        <v>0.45</v>
      </c>
      <c r="K95" s="5">
        <v>0.45</v>
      </c>
      <c r="L95" s="5">
        <v>2.8</v>
      </c>
      <c r="M95" s="5" t="s">
        <v>6206</v>
      </c>
      <c r="N95" s="5" t="s">
        <v>6171</v>
      </c>
      <c r="O95" s="5" t="s">
        <v>6219</v>
      </c>
    </row>
    <row r="96" spans="2:15">
      <c r="B96" s="5" t="s">
        <v>90</v>
      </c>
      <c r="C96" s="5" t="str">
        <f>"Cut Tall Blue Pendant EU"</f>
        <v>Cut Tall Blue Pendant EU</v>
      </c>
      <c r="D96" s="42">
        <f>640</f>
        <v>640</v>
      </c>
      <c r="E96" s="5"/>
      <c r="F96" s="5"/>
      <c r="G96" s="42"/>
      <c r="H96" s="7">
        <v>1</v>
      </c>
      <c r="I96" s="5">
        <v>0.57999999999999996</v>
      </c>
      <c r="J96" s="5">
        <v>0.55000000000000004</v>
      </c>
      <c r="K96" s="5">
        <v>0.55000000000000004</v>
      </c>
      <c r="L96" s="5">
        <v>4.7</v>
      </c>
      <c r="M96" s="5" t="s">
        <v>6206</v>
      </c>
      <c r="N96" s="5" t="s">
        <v>6171</v>
      </c>
      <c r="O96" s="5" t="s">
        <v>6220</v>
      </c>
    </row>
    <row r="97" spans="2:15">
      <c r="B97" s="5" t="s">
        <v>91</v>
      </c>
      <c r="C97" s="5" t="str">
        <f>"Cut Short Chrome Pendant EU"</f>
        <v>Cut Short Chrome Pendant EU</v>
      </c>
      <c r="D97" s="42">
        <f>600</f>
        <v>600</v>
      </c>
      <c r="E97" s="5"/>
      <c r="F97" s="5"/>
      <c r="G97" s="42"/>
      <c r="H97" s="7">
        <v>1</v>
      </c>
      <c r="I97" s="5">
        <v>0.4</v>
      </c>
      <c r="J97" s="5">
        <v>0.45</v>
      </c>
      <c r="K97" s="5">
        <v>0.45</v>
      </c>
      <c r="L97" s="5">
        <v>3</v>
      </c>
      <c r="M97" s="5" t="s">
        <v>6206</v>
      </c>
      <c r="N97" s="5" t="s">
        <v>6221</v>
      </c>
      <c r="O97" s="5" t="s">
        <v>6222</v>
      </c>
    </row>
    <row r="98" spans="2:15">
      <c r="B98" s="5" t="s">
        <v>92</v>
      </c>
      <c r="C98" s="5" t="str">
        <f>"Cut Tall Chrome Pendant EU"</f>
        <v>Cut Tall Chrome Pendant EU</v>
      </c>
      <c r="D98" s="42">
        <f>680</f>
        <v>680</v>
      </c>
      <c r="E98" s="5"/>
      <c r="F98" s="5"/>
      <c r="G98" s="42"/>
      <c r="H98" s="7">
        <v>1</v>
      </c>
      <c r="I98" s="5">
        <v>0.4</v>
      </c>
      <c r="J98" s="5">
        <v>0.44</v>
      </c>
      <c r="K98" s="5">
        <v>0.44</v>
      </c>
      <c r="L98" s="5">
        <v>4.7</v>
      </c>
      <c r="M98" s="5" t="s">
        <v>6206</v>
      </c>
      <c r="N98" s="5" t="s">
        <v>6221</v>
      </c>
      <c r="O98" s="5" t="s">
        <v>6223</v>
      </c>
    </row>
    <row r="99" spans="2:15">
      <c r="B99" s="5" t="s">
        <v>93</v>
      </c>
      <c r="C99" s="5" t="str">
        <f>"Cut Short Gold Pendant EU"</f>
        <v>Cut Short Gold Pendant EU</v>
      </c>
      <c r="D99" s="42">
        <f>600</f>
        <v>600</v>
      </c>
      <c r="E99" s="5"/>
      <c r="F99" s="5"/>
      <c r="G99" s="42"/>
      <c r="H99" s="7">
        <v>1</v>
      </c>
      <c r="I99" s="5">
        <v>0.4</v>
      </c>
      <c r="J99" s="5">
        <v>0.45</v>
      </c>
      <c r="K99" s="5">
        <v>0.45</v>
      </c>
      <c r="L99" s="5">
        <v>2.8</v>
      </c>
      <c r="M99" s="5" t="s">
        <v>6206</v>
      </c>
      <c r="N99" s="5" t="s">
        <v>6171</v>
      </c>
      <c r="O99" s="5" t="s">
        <v>6224</v>
      </c>
    </row>
    <row r="100" spans="2:15">
      <c r="B100" s="5" t="s">
        <v>94</v>
      </c>
      <c r="C100" s="5" t="str">
        <f>"Cut Tall Gold Pendant EU"</f>
        <v>Cut Tall Gold Pendant EU</v>
      </c>
      <c r="D100" s="42">
        <f>680</f>
        <v>680</v>
      </c>
      <c r="E100" s="5"/>
      <c r="F100" s="5"/>
      <c r="G100" s="42"/>
      <c r="H100" s="7">
        <v>1</v>
      </c>
      <c r="I100" s="5">
        <v>0.4</v>
      </c>
      <c r="J100" s="5">
        <v>0.44</v>
      </c>
      <c r="K100" s="5">
        <v>0.44</v>
      </c>
      <c r="L100" s="5">
        <v>4.7</v>
      </c>
      <c r="M100" s="5" t="s">
        <v>6206</v>
      </c>
      <c r="N100" s="5" t="s">
        <v>6171</v>
      </c>
      <c r="O100" s="5" t="s">
        <v>6225</v>
      </c>
    </row>
    <row r="101" spans="2:15">
      <c r="B101" s="5" t="s">
        <v>95</v>
      </c>
      <c r="C101" s="5" t="str">
        <f>"Cut Short Smoke Pendant EU"</f>
        <v>Cut Short Smoke Pendant EU</v>
      </c>
      <c r="D101" s="42">
        <f>480</f>
        <v>480</v>
      </c>
      <c r="E101" s="5"/>
      <c r="F101" s="5"/>
      <c r="G101" s="42"/>
      <c r="H101" s="7">
        <v>1</v>
      </c>
      <c r="I101" s="5">
        <v>0.4</v>
      </c>
      <c r="J101" s="5">
        <v>0.45</v>
      </c>
      <c r="K101" s="5">
        <v>0.45</v>
      </c>
      <c r="L101" s="5">
        <v>3</v>
      </c>
      <c r="M101" s="5" t="s">
        <v>6206</v>
      </c>
      <c r="N101" s="5" t="s">
        <v>6221</v>
      </c>
      <c r="O101" s="5" t="s">
        <v>6226</v>
      </c>
    </row>
    <row r="102" spans="2:15">
      <c r="B102" s="5" t="s">
        <v>96</v>
      </c>
      <c r="C102" s="5" t="str">
        <f>"Cut Tall Smoke Pendant EU"</f>
        <v>Cut Tall Smoke Pendant EU</v>
      </c>
      <c r="D102" s="42">
        <f>640</f>
        <v>640</v>
      </c>
      <c r="E102" s="5"/>
      <c r="F102" s="5"/>
      <c r="G102" s="42"/>
      <c r="H102" s="7">
        <v>1</v>
      </c>
      <c r="I102" s="5">
        <v>0.57999999999999996</v>
      </c>
      <c r="J102" s="5">
        <v>0.55000000000000004</v>
      </c>
      <c r="K102" s="5">
        <v>0.55000000000000004</v>
      </c>
      <c r="L102" s="5">
        <v>4.7</v>
      </c>
      <c r="M102" s="5" t="s">
        <v>6206</v>
      </c>
      <c r="N102" s="5" t="s">
        <v>6221</v>
      </c>
      <c r="O102" s="5" t="s">
        <v>6227</v>
      </c>
    </row>
    <row r="103" spans="2:15">
      <c r="B103" s="5" t="s">
        <v>97</v>
      </c>
      <c r="C103" s="5" t="str">
        <f>"Cut Blue Surface EU"</f>
        <v>Cut Blue Surface EU</v>
      </c>
      <c r="D103" s="42">
        <f>480</f>
        <v>480</v>
      </c>
      <c r="E103" s="5"/>
      <c r="F103" s="5"/>
      <c r="G103" s="42"/>
      <c r="H103" s="7">
        <v>1</v>
      </c>
      <c r="I103" s="5">
        <v>0.4</v>
      </c>
      <c r="J103" s="5">
        <v>0.45</v>
      </c>
      <c r="K103" s="5">
        <v>0.45</v>
      </c>
      <c r="L103" s="5">
        <v>3</v>
      </c>
      <c r="M103" s="5" t="s">
        <v>6206</v>
      </c>
      <c r="N103" s="5" t="s">
        <v>6171</v>
      </c>
      <c r="O103" s="5" t="s">
        <v>6228</v>
      </c>
    </row>
    <row r="104" spans="2:15">
      <c r="B104" s="5" t="s">
        <v>98</v>
      </c>
      <c r="C104" s="5" t="str">
        <f>"Cut Chrome Surface EU"</f>
        <v>Cut Chrome Surface EU</v>
      </c>
      <c r="D104" s="42">
        <f>600</f>
        <v>600</v>
      </c>
      <c r="E104" s="5"/>
      <c r="F104" s="5"/>
      <c r="G104" s="42"/>
      <c r="H104" s="7">
        <v>1</v>
      </c>
      <c r="I104" s="5">
        <v>0.4</v>
      </c>
      <c r="J104" s="5">
        <v>0.45</v>
      </c>
      <c r="K104" s="5">
        <v>0.45</v>
      </c>
      <c r="L104" s="5">
        <v>3</v>
      </c>
      <c r="M104" s="5" t="s">
        <v>6206</v>
      </c>
      <c r="N104" s="5" t="s">
        <v>6171</v>
      </c>
      <c r="O104" s="5" t="s">
        <v>6229</v>
      </c>
    </row>
    <row r="105" spans="2:15">
      <c r="B105" s="5" t="s">
        <v>99</v>
      </c>
      <c r="C105" s="5" t="str">
        <f>"Cut Gold Surface EU"</f>
        <v>Cut Gold Surface EU</v>
      </c>
      <c r="D105" s="42">
        <f>600</f>
        <v>600</v>
      </c>
      <c r="E105" s="5"/>
      <c r="F105" s="5"/>
      <c r="G105" s="42"/>
      <c r="H105" s="7">
        <v>1</v>
      </c>
      <c r="I105" s="5">
        <v>0.4</v>
      </c>
      <c r="J105" s="5">
        <v>0.45</v>
      </c>
      <c r="K105" s="5">
        <v>0.45</v>
      </c>
      <c r="L105" s="5">
        <v>3</v>
      </c>
      <c r="M105" s="5" t="s">
        <v>6206</v>
      </c>
      <c r="N105" s="5" t="s">
        <v>6171</v>
      </c>
      <c r="O105" s="5" t="s">
        <v>6230</v>
      </c>
    </row>
    <row r="106" spans="2:15">
      <c r="B106" s="5" t="s">
        <v>100</v>
      </c>
      <c r="C106" s="5" t="str">
        <f>"Cut Smoke Surface EU"</f>
        <v>Cut Smoke Surface EU</v>
      </c>
      <c r="D106" s="42">
        <f>600</f>
        <v>600</v>
      </c>
      <c r="E106" s="5"/>
      <c r="F106" s="5"/>
      <c r="G106" s="42"/>
      <c r="H106" s="7">
        <v>1</v>
      </c>
      <c r="I106" s="5">
        <v>0.4</v>
      </c>
      <c r="J106" s="5">
        <v>0.45</v>
      </c>
      <c r="K106" s="5">
        <v>0.45</v>
      </c>
      <c r="L106" s="5">
        <v>3</v>
      </c>
      <c r="M106" s="5" t="s">
        <v>6206</v>
      </c>
      <c r="N106" s="5" t="s">
        <v>6171</v>
      </c>
      <c r="O106" s="5" t="s">
        <v>6231</v>
      </c>
    </row>
    <row r="107" spans="2:15">
      <c r="B107" s="5" t="s">
        <v>101</v>
      </c>
      <c r="C107" s="5" t="str">
        <f>"Etch Black Pendant EU"</f>
        <v>Etch Black Pendant EU</v>
      </c>
      <c r="D107" s="42">
        <f>410</f>
        <v>410</v>
      </c>
      <c r="E107" s="5"/>
      <c r="F107" s="5"/>
      <c r="G107" s="42"/>
      <c r="H107" s="7">
        <v>1</v>
      </c>
      <c r="I107" s="5">
        <v>0.35499999999999998</v>
      </c>
      <c r="J107" s="5">
        <v>0.41</v>
      </c>
      <c r="K107" s="5">
        <v>0.41</v>
      </c>
      <c r="L107" s="5">
        <v>2.2000000000000002</v>
      </c>
      <c r="M107" s="5" t="s">
        <v>6158</v>
      </c>
      <c r="N107" s="5" t="s">
        <v>6171</v>
      </c>
      <c r="O107" s="5" t="s">
        <v>6232</v>
      </c>
    </row>
    <row r="108" spans="2:15">
      <c r="B108" s="5" t="s">
        <v>102</v>
      </c>
      <c r="C108" s="5" t="str">
        <f>"Etch Brass Pendant 50cm EU"</f>
        <v>Etch Brass Pendant 50cm EU</v>
      </c>
      <c r="D108" s="42">
        <f>1000</f>
        <v>1000</v>
      </c>
      <c r="E108" s="5"/>
      <c r="F108" s="5"/>
      <c r="G108" s="42"/>
      <c r="H108" s="7">
        <v>1</v>
      </c>
      <c r="I108" s="5">
        <v>0.52</v>
      </c>
      <c r="J108" s="5">
        <v>0.56000000000000005</v>
      </c>
      <c r="K108" s="5">
        <v>0.6</v>
      </c>
      <c r="L108" s="5">
        <v>1.5</v>
      </c>
      <c r="M108" s="5" t="s">
        <v>6158</v>
      </c>
      <c r="N108" s="5" t="s">
        <v>6171</v>
      </c>
      <c r="O108" s="5" t="s">
        <v>6233</v>
      </c>
    </row>
    <row r="109" spans="2:15">
      <c r="B109" s="5" t="s">
        <v>103</v>
      </c>
      <c r="C109" s="5" t="str">
        <f>"Etch Copper Pendant EU"</f>
        <v>Etch Copper Pendant EU</v>
      </c>
      <c r="D109" s="42">
        <f>410</f>
        <v>410</v>
      </c>
      <c r="E109" s="5"/>
      <c r="F109" s="5"/>
      <c r="G109" s="42"/>
      <c r="H109" s="7">
        <v>1</v>
      </c>
      <c r="I109" s="5">
        <v>0.35499999999999998</v>
      </c>
      <c r="J109" s="5">
        <v>0.41</v>
      </c>
      <c r="K109" s="5">
        <v>0.41</v>
      </c>
      <c r="L109" s="5">
        <v>2.2000000000000002</v>
      </c>
      <c r="M109" s="5" t="s">
        <v>6158</v>
      </c>
      <c r="N109" s="5" t="s">
        <v>6171</v>
      </c>
      <c r="O109" s="5" t="s">
        <v>6234</v>
      </c>
    </row>
    <row r="110" spans="2:15">
      <c r="B110" s="5" t="s">
        <v>104</v>
      </c>
      <c r="C110" s="5" t="str">
        <f>"Etch Brass Pendant EU"</f>
        <v>Etch Brass Pendant EU</v>
      </c>
      <c r="D110" s="42">
        <f>410</f>
        <v>410</v>
      </c>
      <c r="E110" s="5"/>
      <c r="F110" s="5"/>
      <c r="G110" s="42"/>
      <c r="H110" s="7">
        <v>1</v>
      </c>
      <c r="I110" s="5">
        <v>0.35499999999999998</v>
      </c>
      <c r="J110" s="5">
        <v>0.41</v>
      </c>
      <c r="K110" s="5">
        <v>0.41</v>
      </c>
      <c r="L110" s="5">
        <v>2.7</v>
      </c>
      <c r="M110" s="5" t="s">
        <v>6158</v>
      </c>
      <c r="N110" s="5" t="s">
        <v>6171</v>
      </c>
      <c r="O110" s="5" t="s">
        <v>6235</v>
      </c>
    </row>
    <row r="111" spans="2:15">
      <c r="B111" s="5" t="s">
        <v>105</v>
      </c>
      <c r="C111" s="5" t="str">
        <f>"Etch Steel Pendant EU"</f>
        <v>Etch Steel Pendant EU</v>
      </c>
      <c r="D111" s="42">
        <f>390</f>
        <v>390</v>
      </c>
      <c r="E111" s="5"/>
      <c r="F111" s="5"/>
      <c r="G111" s="42"/>
      <c r="H111" s="7">
        <v>1</v>
      </c>
      <c r="I111" s="5">
        <v>0.35499999999999998</v>
      </c>
      <c r="J111" s="5">
        <v>0.41</v>
      </c>
      <c r="K111" s="5">
        <v>0.41</v>
      </c>
      <c r="L111" s="5">
        <v>2.61</v>
      </c>
      <c r="M111" s="5" t="s">
        <v>6158</v>
      </c>
      <c r="N111" s="5" t="s">
        <v>6171</v>
      </c>
      <c r="O111" s="5" t="s">
        <v>6236</v>
      </c>
    </row>
    <row r="112" spans="2:15">
      <c r="B112" s="5" t="s">
        <v>106</v>
      </c>
      <c r="C112" s="5" t="str">
        <f>"Etch Web Brass Pendant EU"</f>
        <v>Etch Web Brass Pendant EU</v>
      </c>
      <c r="D112" s="42">
        <f>1600</f>
        <v>1600</v>
      </c>
      <c r="E112" s="5"/>
      <c r="F112" s="5"/>
      <c r="G112" s="42"/>
      <c r="H112" s="7">
        <v>1</v>
      </c>
      <c r="I112" s="5">
        <v>0.76</v>
      </c>
      <c r="J112" s="5">
        <v>0.73</v>
      </c>
      <c r="K112" s="5">
        <v>0.73</v>
      </c>
      <c r="L112" s="5">
        <v>12</v>
      </c>
      <c r="M112" s="5" t="s">
        <v>6158</v>
      </c>
      <c r="N112" s="5" t="s">
        <v>6171</v>
      </c>
      <c r="O112" s="5" t="s">
        <v>6237</v>
      </c>
    </row>
    <row r="113" spans="2:16">
      <c r="B113" s="5" t="s">
        <v>107</v>
      </c>
      <c r="C113" s="5" t="str">
        <f>"Etch Web Steel Pendant EU"</f>
        <v>Etch Web Steel Pendant EU</v>
      </c>
      <c r="D113" s="42">
        <f>1300</f>
        <v>1300</v>
      </c>
      <c r="E113" s="5"/>
      <c r="F113" s="5"/>
      <c r="G113" s="42"/>
      <c r="H113" s="7">
        <v>1</v>
      </c>
      <c r="I113" s="5">
        <v>0.76</v>
      </c>
      <c r="J113" s="5">
        <v>0.73</v>
      </c>
      <c r="K113" s="5">
        <v>0.73</v>
      </c>
      <c r="L113" s="5">
        <v>12</v>
      </c>
      <c r="M113" s="5" t="s">
        <v>6158</v>
      </c>
      <c r="N113" s="5" t="s">
        <v>6171</v>
      </c>
      <c r="O113" s="5" t="s">
        <v>6238</v>
      </c>
    </row>
    <row r="114" spans="2:16" hidden="1" outlineLevel="1">
      <c r="B114" s="5" t="s">
        <v>108</v>
      </c>
      <c r="C114" s="5" t="str">
        <f>"Felt Pendant EU"</f>
        <v>Felt Pendant EU</v>
      </c>
      <c r="D114" s="42">
        <f>230</f>
        <v>230</v>
      </c>
      <c r="E114" s="5" t="s">
        <v>109</v>
      </c>
      <c r="F114" s="5" t="str">
        <f>IF($E114="","","Felt Shade Grey/White")</f>
        <v>Felt Shade Grey/White</v>
      </c>
      <c r="G114" s="42">
        <f>IF($E114="","",175)</f>
        <v>175</v>
      </c>
      <c r="H114" s="7">
        <f>IF(E114="","",1)</f>
        <v>1</v>
      </c>
      <c r="I114" s="5">
        <v>0.33</v>
      </c>
      <c r="J114" s="5">
        <v>0.31</v>
      </c>
      <c r="K114" s="5">
        <v>0.31</v>
      </c>
      <c r="L114" s="5">
        <v>0.82499999999999996</v>
      </c>
      <c r="M114" s="5" t="s">
        <v>6239</v>
      </c>
      <c r="N114" s="5" t="s">
        <v>6240</v>
      </c>
      <c r="O114" s="5" t="s">
        <v>6241</v>
      </c>
    </row>
    <row r="115" spans="2:16" hidden="1" outlineLevel="1">
      <c r="B115" s="5" t="s">
        <v>108</v>
      </c>
      <c r="C115" s="5" t="str">
        <f>"Felt Pendant EU"</f>
        <v>Felt Pendant EU</v>
      </c>
      <c r="D115" s="42">
        <f>230</f>
        <v>230</v>
      </c>
      <c r="E115" s="5" t="s">
        <v>110</v>
      </c>
      <c r="F115" s="5" t="str">
        <f>IF($E115="","","Standard Pendt Fitting EU 42W")</f>
        <v>Standard Pendt Fitting EU 42W</v>
      </c>
      <c r="G115" s="42">
        <f>IF($E115="","",55)</f>
        <v>55</v>
      </c>
      <c r="H115" s="7">
        <f>IF(E115="","",1)</f>
        <v>1</v>
      </c>
      <c r="I115" s="5">
        <v>0.15</v>
      </c>
      <c r="J115" s="5">
        <v>0.17</v>
      </c>
      <c r="K115" s="5">
        <v>0.19</v>
      </c>
      <c r="L115" s="5">
        <v>0.54</v>
      </c>
      <c r="M115" s="5" t="s">
        <v>6158</v>
      </c>
      <c r="N115" s="5" t="s">
        <v>6171</v>
      </c>
      <c r="O115" s="5" t="s">
        <v>6242</v>
      </c>
    </row>
    <row r="116" spans="2:16" collapsed="1">
      <c r="B116" s="5" t="s">
        <v>108</v>
      </c>
      <c r="C116" s="5" t="str">
        <f>"Felt Pendant EU"</f>
        <v>Felt Pendant EU</v>
      </c>
      <c r="D116" s="42">
        <f>230</f>
        <v>230</v>
      </c>
      <c r="E116" s="5"/>
      <c r="F116" s="5"/>
      <c r="G116" s="42"/>
      <c r="H116" s="7"/>
      <c r="I116" s="5"/>
      <c r="J116" s="5"/>
      <c r="K116" s="5"/>
      <c r="L116" s="5"/>
      <c r="M116" s="5"/>
      <c r="N116" s="5"/>
      <c r="O116" s="5" t="s">
        <v>1039</v>
      </c>
      <c r="P116" s="3"/>
    </row>
    <row r="117" spans="2:16">
      <c r="B117" s="5" t="s">
        <v>111</v>
      </c>
      <c r="C117" s="5" t="str">
        <f>"Melt Pendant Chrome 50 EU"</f>
        <v>Melt Pendant Chrome 50 EU</v>
      </c>
      <c r="D117" s="42">
        <f>735</f>
        <v>735</v>
      </c>
      <c r="E117" s="5"/>
      <c r="F117" s="5"/>
      <c r="G117" s="42"/>
      <c r="H117" s="7">
        <v>1</v>
      </c>
      <c r="I117" s="5">
        <v>0.57999999999999996</v>
      </c>
      <c r="J117" s="5">
        <v>0.55000000000000004</v>
      </c>
      <c r="K117" s="5">
        <v>0.55000000000000004</v>
      </c>
      <c r="L117" s="5">
        <v>4</v>
      </c>
      <c r="M117" s="5" t="s">
        <v>6206</v>
      </c>
      <c r="N117" s="5" t="s">
        <v>6171</v>
      </c>
      <c r="O117" s="5" t="s">
        <v>6243</v>
      </c>
    </row>
    <row r="118" spans="2:16">
      <c r="B118" s="5" t="s">
        <v>112</v>
      </c>
      <c r="C118" s="5" t="str">
        <f>"Melt Pendant Gold 50 EU"</f>
        <v>Melt Pendant Gold 50 EU</v>
      </c>
      <c r="D118" s="42">
        <f>735</f>
        <v>735</v>
      </c>
      <c r="E118" s="5"/>
      <c r="F118" s="5"/>
      <c r="G118" s="42"/>
      <c r="H118" s="7">
        <v>1</v>
      </c>
      <c r="I118" s="5">
        <v>0.56999999999999995</v>
      </c>
      <c r="J118" s="5">
        <v>0.53</v>
      </c>
      <c r="K118" s="5">
        <v>0.53</v>
      </c>
      <c r="L118" s="5">
        <v>4</v>
      </c>
      <c r="M118" s="5" t="s">
        <v>6206</v>
      </c>
      <c r="N118" s="5" t="s">
        <v>6171</v>
      </c>
      <c r="O118" s="5" t="s">
        <v>6244</v>
      </c>
    </row>
    <row r="119" spans="2:16">
      <c r="B119" s="5" t="s">
        <v>113</v>
      </c>
      <c r="C119" s="5" t="str">
        <f>"Melt Pendant Copper 50 EU"</f>
        <v>Melt Pendant Copper 50 EU</v>
      </c>
      <c r="D119" s="42">
        <f>735</f>
        <v>735</v>
      </c>
      <c r="E119" s="5"/>
      <c r="F119" s="5"/>
      <c r="G119" s="42"/>
      <c r="H119" s="7">
        <v>1</v>
      </c>
      <c r="I119" s="5">
        <v>0.56999999999999995</v>
      </c>
      <c r="J119" s="5">
        <v>0.53</v>
      </c>
      <c r="K119" s="5">
        <v>0.53</v>
      </c>
      <c r="L119" s="5">
        <v>4</v>
      </c>
      <c r="M119" s="5" t="s">
        <v>6206</v>
      </c>
      <c r="N119" s="5" t="s">
        <v>6171</v>
      </c>
      <c r="O119" s="5" t="s">
        <v>6245</v>
      </c>
    </row>
    <row r="120" spans="2:16">
      <c r="B120" s="5" t="s">
        <v>114</v>
      </c>
      <c r="C120" s="5" t="str">
        <f>"Melt Pendant Smoke EU"</f>
        <v>Melt Pendant Smoke EU</v>
      </c>
      <c r="D120" s="42">
        <f>735</f>
        <v>735</v>
      </c>
      <c r="E120" s="5"/>
      <c r="F120" s="5"/>
      <c r="G120" s="42"/>
      <c r="H120" s="7">
        <v>1</v>
      </c>
      <c r="I120" s="5">
        <v>0.57999999999999996</v>
      </c>
      <c r="J120" s="5">
        <v>0.55000000000000004</v>
      </c>
      <c r="K120" s="5">
        <v>0.55000000000000004</v>
      </c>
      <c r="L120" s="5">
        <v>4</v>
      </c>
      <c r="M120" s="5" t="s">
        <v>6206</v>
      </c>
      <c r="N120" s="5" t="s">
        <v>6171</v>
      </c>
      <c r="O120" s="5" t="s">
        <v>6246</v>
      </c>
    </row>
    <row r="121" spans="2:16">
      <c r="B121" s="5" t="s">
        <v>115</v>
      </c>
      <c r="C121" s="5" t="str">
        <f>"Melt Pendant Blue EU"</f>
        <v>Melt Pendant Blue EU</v>
      </c>
      <c r="D121" s="42">
        <f>730</f>
        <v>730</v>
      </c>
      <c r="E121" s="5"/>
      <c r="F121" s="5"/>
      <c r="G121" s="42"/>
      <c r="H121" s="7">
        <v>1</v>
      </c>
      <c r="I121" s="5">
        <v>0.57999999999999996</v>
      </c>
      <c r="J121" s="5">
        <v>0.55000000000000004</v>
      </c>
      <c r="K121" s="5">
        <v>0.55000000000000004</v>
      </c>
      <c r="L121" s="5">
        <v>4</v>
      </c>
      <c r="M121" s="5" t="s">
        <v>6206</v>
      </c>
      <c r="N121" s="5" t="s">
        <v>6171</v>
      </c>
      <c r="O121" s="5" t="s">
        <v>6247</v>
      </c>
    </row>
    <row r="122" spans="2:16">
      <c r="B122" s="5" t="s">
        <v>116</v>
      </c>
      <c r="C122" s="5" t="str">
        <f>"Melt Pendant mini Chrome EU"</f>
        <v>Melt Pendant mini Chrome EU</v>
      </c>
      <c r="D122" s="42">
        <f>480</f>
        <v>480</v>
      </c>
      <c r="E122" s="5"/>
      <c r="F122" s="5"/>
      <c r="G122" s="42"/>
      <c r="H122" s="7">
        <v>1</v>
      </c>
      <c r="I122" s="5">
        <v>0.42</v>
      </c>
      <c r="J122" s="5">
        <v>0.31</v>
      </c>
      <c r="K122" s="5">
        <v>0.31</v>
      </c>
      <c r="L122" s="5">
        <v>1.7</v>
      </c>
      <c r="M122" s="5" t="s">
        <v>6206</v>
      </c>
      <c r="N122" s="5" t="s">
        <v>6171</v>
      </c>
      <c r="O122" s="5" t="s">
        <v>6248</v>
      </c>
    </row>
    <row r="123" spans="2:16">
      <c r="B123" s="5" t="s">
        <v>117</v>
      </c>
      <c r="C123" s="5" t="str">
        <f>"Melt Pendant mini Gold  EU"</f>
        <v>Melt Pendant mini Gold  EU</v>
      </c>
      <c r="D123" s="42">
        <f>480</f>
        <v>480</v>
      </c>
      <c r="E123" s="5"/>
      <c r="F123" s="5"/>
      <c r="G123" s="42"/>
      <c r="H123" s="7">
        <v>1</v>
      </c>
      <c r="I123" s="5">
        <v>0.42</v>
      </c>
      <c r="J123" s="5">
        <v>0.31</v>
      </c>
      <c r="K123" s="5">
        <v>0.31</v>
      </c>
      <c r="L123" s="5">
        <v>1.7</v>
      </c>
      <c r="M123" s="5" t="s">
        <v>6206</v>
      </c>
      <c r="N123" s="5" t="s">
        <v>6171</v>
      </c>
      <c r="O123" s="5" t="s">
        <v>6249</v>
      </c>
    </row>
    <row r="124" spans="2:16">
      <c r="B124" s="5" t="s">
        <v>118</v>
      </c>
      <c r="C124" s="5" t="str">
        <f>"Melt Pendant mini Copper EU"</f>
        <v>Melt Pendant mini Copper EU</v>
      </c>
      <c r="D124" s="42">
        <f>480</f>
        <v>480</v>
      </c>
      <c r="E124" s="5"/>
      <c r="F124" s="5"/>
      <c r="G124" s="42"/>
      <c r="H124" s="7">
        <v>1</v>
      </c>
      <c r="I124" s="5">
        <v>0.42</v>
      </c>
      <c r="J124" s="5">
        <v>0.31</v>
      </c>
      <c r="K124" s="5">
        <v>0.31</v>
      </c>
      <c r="L124" s="5">
        <v>1.7</v>
      </c>
      <c r="M124" s="5" t="s">
        <v>6206</v>
      </c>
      <c r="N124" s="5" t="s">
        <v>6171</v>
      </c>
      <c r="O124" s="5" t="s">
        <v>6250</v>
      </c>
    </row>
    <row r="125" spans="2:16">
      <c r="B125" s="5" t="s">
        <v>119</v>
      </c>
      <c r="C125" s="5" t="str">
        <f>"Melt Pendant mini Smoke EU"</f>
        <v>Melt Pendant mini Smoke EU</v>
      </c>
      <c r="D125" s="42">
        <f>480</f>
        <v>480</v>
      </c>
      <c r="E125" s="5"/>
      <c r="F125" s="5"/>
      <c r="G125" s="42"/>
      <c r="H125" s="7">
        <v>1</v>
      </c>
      <c r="I125" s="5">
        <v>0.42</v>
      </c>
      <c r="J125" s="5">
        <v>0.31</v>
      </c>
      <c r="K125" s="5">
        <v>0.31</v>
      </c>
      <c r="L125" s="5">
        <v>2.9</v>
      </c>
      <c r="M125" s="5" t="s">
        <v>6206</v>
      </c>
      <c r="N125" s="5" t="s">
        <v>6171</v>
      </c>
      <c r="O125" s="5" t="s">
        <v>6251</v>
      </c>
    </row>
    <row r="126" spans="2:16">
      <c r="B126" s="5" t="s">
        <v>120</v>
      </c>
      <c r="C126" s="5" t="str">
        <f>"Melt Pendant mini Blue EU"</f>
        <v>Melt Pendant mini Blue EU</v>
      </c>
      <c r="D126" s="42">
        <f>470</f>
        <v>470</v>
      </c>
      <c r="E126" s="5"/>
      <c r="F126" s="5"/>
      <c r="G126" s="42"/>
      <c r="H126" s="7">
        <v>1</v>
      </c>
      <c r="I126" s="5">
        <v>0.42</v>
      </c>
      <c r="J126" s="5">
        <v>0.31</v>
      </c>
      <c r="K126" s="5">
        <v>0.31</v>
      </c>
      <c r="L126" s="5">
        <v>2.9</v>
      </c>
      <c r="M126" s="5" t="s">
        <v>6206</v>
      </c>
      <c r="N126" s="5" t="s">
        <v>6171</v>
      </c>
      <c r="O126" s="5" t="s">
        <v>6252</v>
      </c>
    </row>
    <row r="127" spans="2:16">
      <c r="B127" s="5" t="s">
        <v>121</v>
      </c>
      <c r="C127" s="5" t="str">
        <f>"Melt Blue Surface EU"</f>
        <v>Melt Blue Surface EU</v>
      </c>
      <c r="D127" s="42">
        <f>540</f>
        <v>540</v>
      </c>
      <c r="E127" s="5"/>
      <c r="F127" s="5"/>
      <c r="G127" s="42"/>
      <c r="H127" s="7">
        <v>1</v>
      </c>
      <c r="I127" s="5">
        <v>0.4</v>
      </c>
      <c r="J127" s="5">
        <v>0.54500000000000004</v>
      </c>
      <c r="K127" s="5">
        <v>0.54500000000000004</v>
      </c>
      <c r="L127" s="5">
        <v>3.5</v>
      </c>
      <c r="M127" s="5" t="s">
        <v>6206</v>
      </c>
      <c r="N127" s="5" t="s">
        <v>6171</v>
      </c>
      <c r="O127" s="5" t="s">
        <v>6253</v>
      </c>
    </row>
    <row r="128" spans="2:16">
      <c r="B128" s="5" t="s">
        <v>122</v>
      </c>
      <c r="C128" s="5" t="str">
        <f>"MELT Chrome Surface EU"</f>
        <v>MELT Chrome Surface EU</v>
      </c>
      <c r="D128" s="42">
        <f>600</f>
        <v>600</v>
      </c>
      <c r="E128" s="5"/>
      <c r="F128" s="5"/>
      <c r="G128" s="42"/>
      <c r="H128" s="7">
        <v>1</v>
      </c>
      <c r="I128" s="5">
        <v>0.4</v>
      </c>
      <c r="J128" s="5">
        <v>0.54500000000000004</v>
      </c>
      <c r="K128" s="5">
        <v>0.54500000000000004</v>
      </c>
      <c r="L128" s="5">
        <v>3.5</v>
      </c>
      <c r="M128" s="5" t="s">
        <v>6206</v>
      </c>
      <c r="N128" s="5" t="s">
        <v>6171</v>
      </c>
      <c r="O128" s="5" t="s">
        <v>6254</v>
      </c>
    </row>
    <row r="129" spans="2:15">
      <c r="B129" s="5" t="s">
        <v>123</v>
      </c>
      <c r="C129" s="5" t="str">
        <f>"MELT Copper Surface EU"</f>
        <v>MELT Copper Surface EU</v>
      </c>
      <c r="D129" s="42">
        <f>600</f>
        <v>600</v>
      </c>
      <c r="E129" s="5"/>
      <c r="F129" s="5"/>
      <c r="G129" s="42"/>
      <c r="H129" s="7">
        <v>1</v>
      </c>
      <c r="I129" s="5">
        <v>0.4</v>
      </c>
      <c r="J129" s="5">
        <v>0.54500000000000004</v>
      </c>
      <c r="K129" s="5">
        <v>0.54500000000000004</v>
      </c>
      <c r="L129" s="5">
        <v>3.5</v>
      </c>
      <c r="M129" s="5" t="s">
        <v>6206</v>
      </c>
      <c r="N129" s="5" t="s">
        <v>6171</v>
      </c>
      <c r="O129" s="5" t="s">
        <v>6255</v>
      </c>
    </row>
    <row r="130" spans="2:15">
      <c r="B130" s="5" t="s">
        <v>124</v>
      </c>
      <c r="C130" s="5" t="str">
        <f>"MELT Gold Surface EU"</f>
        <v>MELT Gold Surface EU</v>
      </c>
      <c r="D130" s="42">
        <f>600</f>
        <v>600</v>
      </c>
      <c r="E130" s="5"/>
      <c r="F130" s="5"/>
      <c r="G130" s="42"/>
      <c r="H130" s="7">
        <v>1</v>
      </c>
      <c r="I130" s="5">
        <v>0.4</v>
      </c>
      <c r="J130" s="5">
        <v>0.54500000000000004</v>
      </c>
      <c r="K130" s="5">
        <v>0.54500000000000004</v>
      </c>
      <c r="L130" s="5">
        <v>3.5</v>
      </c>
      <c r="M130" s="5" t="s">
        <v>6206</v>
      </c>
      <c r="N130" s="5" t="s">
        <v>6171</v>
      </c>
      <c r="O130" s="5" t="s">
        <v>6256</v>
      </c>
    </row>
    <row r="131" spans="2:15">
      <c r="B131" s="5" t="s">
        <v>125</v>
      </c>
      <c r="C131" s="5" t="str">
        <f>"Melt Smoke Surface EU"</f>
        <v>Melt Smoke Surface EU</v>
      </c>
      <c r="D131" s="42">
        <f>600</f>
        <v>600</v>
      </c>
      <c r="E131" s="5"/>
      <c r="F131" s="5"/>
      <c r="G131" s="42"/>
      <c r="H131" s="7">
        <v>1</v>
      </c>
      <c r="I131" s="5">
        <v>0.4</v>
      </c>
      <c r="J131" s="5">
        <v>0.54500000000000004</v>
      </c>
      <c r="K131" s="5">
        <v>0.54500000000000004</v>
      </c>
      <c r="L131" s="5">
        <v>3.5</v>
      </c>
      <c r="M131" s="5" t="s">
        <v>6206</v>
      </c>
      <c r="N131" s="5" t="s">
        <v>6171</v>
      </c>
      <c r="O131" s="5" t="s">
        <v>6257</v>
      </c>
    </row>
    <row r="132" spans="2:15">
      <c r="B132" s="5" t="s">
        <v>126</v>
      </c>
      <c r="C132" s="5" t="str">
        <f>"Mirror Ball 50 Pendant EU"</f>
        <v>Mirror Ball 50 Pendant EU</v>
      </c>
      <c r="D132" s="42">
        <f>615</f>
        <v>615</v>
      </c>
      <c r="E132" s="5"/>
      <c r="F132" s="5"/>
      <c r="G132" s="42"/>
      <c r="H132" s="7">
        <v>1</v>
      </c>
      <c r="I132" s="5">
        <v>0.64</v>
      </c>
      <c r="J132" s="5">
        <v>0.55000000000000004</v>
      </c>
      <c r="K132" s="5">
        <v>0.55000000000000004</v>
      </c>
      <c r="L132" s="5">
        <v>4.5999999999999996</v>
      </c>
      <c r="M132" s="5" t="s">
        <v>6206</v>
      </c>
      <c r="N132" s="5" t="s">
        <v>6171</v>
      </c>
      <c r="O132" s="5" t="s">
        <v>6258</v>
      </c>
    </row>
    <row r="133" spans="2:15">
      <c r="B133" s="5" t="s">
        <v>127</v>
      </c>
      <c r="C133" s="5" t="str">
        <f>"Mirror Ball 40 Pendant EU"</f>
        <v>Mirror Ball 40 Pendant EU</v>
      </c>
      <c r="D133" s="42">
        <f>530</f>
        <v>530</v>
      </c>
      <c r="E133" s="5"/>
      <c r="F133" s="5"/>
      <c r="G133" s="42"/>
      <c r="H133" s="7">
        <v>1</v>
      </c>
      <c r="I133" s="5">
        <v>0.55000000000000004</v>
      </c>
      <c r="J133" s="5">
        <v>0.45</v>
      </c>
      <c r="K133" s="5">
        <v>0.45</v>
      </c>
      <c r="L133" s="5">
        <v>3</v>
      </c>
      <c r="M133" s="5" t="s">
        <v>6206</v>
      </c>
      <c r="N133" s="5" t="s">
        <v>6171</v>
      </c>
      <c r="O133" s="5" t="s">
        <v>6259</v>
      </c>
    </row>
    <row r="134" spans="2:15">
      <c r="B134" s="5" t="s">
        <v>128</v>
      </c>
      <c r="C134" s="5" t="str">
        <f>"Mirror Ball 25 Pendant EU"</f>
        <v>Mirror Ball 25 Pendant EU</v>
      </c>
      <c r="D134" s="42">
        <f>350</f>
        <v>350</v>
      </c>
      <c r="E134" s="5"/>
      <c r="F134" s="5"/>
      <c r="G134" s="42"/>
      <c r="H134" s="7">
        <v>1</v>
      </c>
      <c r="I134" s="5">
        <v>0.41</v>
      </c>
      <c r="J134" s="5">
        <v>0.31</v>
      </c>
      <c r="K134" s="5">
        <v>0.31</v>
      </c>
      <c r="L134" s="5">
        <v>1.7</v>
      </c>
      <c r="M134" s="5" t="s">
        <v>6206</v>
      </c>
      <c r="N134" s="5" t="s">
        <v>6171</v>
      </c>
      <c r="O134" s="5" t="s">
        <v>6260</v>
      </c>
    </row>
    <row r="135" spans="2:15">
      <c r="B135" s="5" t="s">
        <v>129</v>
      </c>
      <c r="C135" s="5" t="str">
        <f>"Mirror Ball 50 Pendant Gold EU"</f>
        <v>Mirror Ball 50 Pendant Gold EU</v>
      </c>
      <c r="D135" s="42">
        <f>615</f>
        <v>615</v>
      </c>
      <c r="E135" s="5"/>
      <c r="F135" s="5"/>
      <c r="G135" s="42"/>
      <c r="H135" s="7">
        <v>1</v>
      </c>
      <c r="I135" s="5">
        <v>0.64</v>
      </c>
      <c r="J135" s="5">
        <v>0.55000000000000004</v>
      </c>
      <c r="K135" s="5">
        <v>0.55000000000000004</v>
      </c>
      <c r="L135" s="5">
        <v>4.5999999999999996</v>
      </c>
      <c r="M135" s="5" t="s">
        <v>6206</v>
      </c>
      <c r="N135" s="5" t="s">
        <v>6171</v>
      </c>
      <c r="O135" s="5" t="s">
        <v>6261</v>
      </c>
    </row>
    <row r="136" spans="2:15">
      <c r="B136" s="5" t="s">
        <v>130</v>
      </c>
      <c r="C136" s="5" t="str">
        <f>"Mirror Ball 40 Pendant Gold EU"</f>
        <v>Mirror Ball 40 Pendant Gold EU</v>
      </c>
      <c r="D136" s="42">
        <f>530</f>
        <v>530</v>
      </c>
      <c r="E136" s="5"/>
      <c r="F136" s="5"/>
      <c r="G136" s="42"/>
      <c r="H136" s="7">
        <v>1</v>
      </c>
      <c r="I136" s="5">
        <v>0.55000000000000004</v>
      </c>
      <c r="J136" s="5">
        <v>0.45</v>
      </c>
      <c r="K136" s="5">
        <v>0.45</v>
      </c>
      <c r="L136" s="5">
        <v>3</v>
      </c>
      <c r="M136" s="5" t="s">
        <v>6206</v>
      </c>
      <c r="N136" s="5" t="s">
        <v>6171</v>
      </c>
      <c r="O136" s="5" t="s">
        <v>6262</v>
      </c>
    </row>
    <row r="137" spans="2:15">
      <c r="B137" s="5" t="s">
        <v>131</v>
      </c>
      <c r="C137" s="5" t="str">
        <f>"Mirror Ball 25 Pendant Gold EU"</f>
        <v>Mirror Ball 25 Pendant Gold EU</v>
      </c>
      <c r="D137" s="42">
        <f>350</f>
        <v>350</v>
      </c>
      <c r="E137" s="5"/>
      <c r="F137" s="5"/>
      <c r="G137" s="42"/>
      <c r="H137" s="7">
        <v>1</v>
      </c>
      <c r="I137" s="5">
        <v>0.41</v>
      </c>
      <c r="J137" s="5">
        <v>0.31</v>
      </c>
      <c r="K137" s="5">
        <v>0.31</v>
      </c>
      <c r="L137" s="5">
        <v>1.7</v>
      </c>
      <c r="M137" s="5" t="s">
        <v>6206</v>
      </c>
      <c r="N137" s="5" t="s">
        <v>6171</v>
      </c>
      <c r="O137" s="5" t="s">
        <v>6263</v>
      </c>
    </row>
    <row r="138" spans="2:15">
      <c r="B138" s="5" t="s">
        <v>132</v>
      </c>
      <c r="C138" s="5" t="str">
        <f>"Mirror Ball Copper 50 Pndt EU"</f>
        <v>Mirror Ball Copper 50 Pndt EU</v>
      </c>
      <c r="D138" s="42">
        <f>610</f>
        <v>610</v>
      </c>
      <c r="E138" s="5"/>
      <c r="F138" s="5"/>
      <c r="G138" s="42"/>
      <c r="H138" s="7">
        <v>1</v>
      </c>
      <c r="I138" s="5">
        <v>0.64</v>
      </c>
      <c r="J138" s="5">
        <v>0.55000000000000004</v>
      </c>
      <c r="K138" s="5">
        <v>0.55000000000000004</v>
      </c>
      <c r="L138" s="5">
        <v>4.5999999999999996</v>
      </c>
      <c r="M138" s="5" t="s">
        <v>6206</v>
      </c>
      <c r="N138" s="5" t="s">
        <v>6171</v>
      </c>
      <c r="O138" s="5" t="s">
        <v>6264</v>
      </c>
    </row>
    <row r="139" spans="2:15">
      <c r="B139" s="5" t="s">
        <v>133</v>
      </c>
      <c r="C139" s="5" t="str">
        <f>"Mirror Ball Copper 40 Pndt EU"</f>
        <v>Mirror Ball Copper 40 Pndt EU</v>
      </c>
      <c r="D139" s="42">
        <f>520</f>
        <v>520</v>
      </c>
      <c r="E139" s="5"/>
      <c r="F139" s="5"/>
      <c r="G139" s="42"/>
      <c r="H139" s="7">
        <v>1</v>
      </c>
      <c r="I139" s="5">
        <v>0.55000000000000004</v>
      </c>
      <c r="J139" s="5">
        <v>0.45</v>
      </c>
      <c r="K139" s="5">
        <v>0.45</v>
      </c>
      <c r="L139" s="5">
        <v>3.6</v>
      </c>
      <c r="M139" s="5" t="s">
        <v>6206</v>
      </c>
      <c r="N139" s="5" t="s">
        <v>6171</v>
      </c>
      <c r="O139" s="5" t="s">
        <v>6265</v>
      </c>
    </row>
    <row r="140" spans="2:15">
      <c r="B140" s="5" t="s">
        <v>134</v>
      </c>
      <c r="C140" s="5" t="str">
        <f>"Mirror Ball Copper 25 Pndt EU"</f>
        <v>Mirror Ball Copper 25 Pndt EU</v>
      </c>
      <c r="D140" s="42">
        <f>335</f>
        <v>335</v>
      </c>
      <c r="E140" s="5"/>
      <c r="F140" s="5"/>
      <c r="G140" s="42"/>
      <c r="H140" s="7">
        <v>1</v>
      </c>
      <c r="I140" s="5">
        <v>0.41</v>
      </c>
      <c r="J140" s="5">
        <v>0.31</v>
      </c>
      <c r="K140" s="5">
        <v>0.31</v>
      </c>
      <c r="L140" s="5">
        <v>1.8</v>
      </c>
      <c r="M140" s="5" t="s">
        <v>6206</v>
      </c>
      <c r="N140" s="5" t="s">
        <v>6171</v>
      </c>
      <c r="O140" s="5" t="s">
        <v>6266</v>
      </c>
    </row>
    <row r="141" spans="2:15">
      <c r="B141" s="5" t="s">
        <v>135</v>
      </c>
      <c r="C141" s="5" t="str">
        <f>"Plane Round Pendant EU"</f>
        <v>Plane Round Pendant EU</v>
      </c>
      <c r="D141" s="42">
        <f>300</f>
        <v>300</v>
      </c>
      <c r="E141" s="5"/>
      <c r="F141" s="5"/>
      <c r="G141" s="42"/>
      <c r="H141" s="7">
        <v>1</v>
      </c>
      <c r="I141" s="5">
        <v>0.22</v>
      </c>
      <c r="J141" s="5">
        <v>0.3</v>
      </c>
      <c r="K141" s="5">
        <v>0.3</v>
      </c>
      <c r="L141" s="5">
        <v>2.11</v>
      </c>
      <c r="M141" s="5" t="s">
        <v>6158</v>
      </c>
      <c r="N141" s="5" t="s">
        <v>6171</v>
      </c>
      <c r="O141" s="5" t="s">
        <v>6267</v>
      </c>
    </row>
    <row r="142" spans="2:15">
      <c r="B142" s="5" t="s">
        <v>136</v>
      </c>
      <c r="C142" s="5" t="str">
        <f>"Plane Chandelier EU"</f>
        <v>Plane Chandelier EU</v>
      </c>
      <c r="D142" s="42">
        <f>5800</f>
        <v>5800</v>
      </c>
      <c r="E142" s="5"/>
      <c r="F142" s="5"/>
      <c r="G142" s="42"/>
      <c r="H142" s="7">
        <v>1</v>
      </c>
      <c r="I142" s="5">
        <v>0.93500000000000005</v>
      </c>
      <c r="J142" s="5">
        <v>0.495</v>
      </c>
      <c r="K142" s="5">
        <v>0.93</v>
      </c>
      <c r="L142" s="5">
        <v>27</v>
      </c>
      <c r="M142" s="5" t="s">
        <v>6158</v>
      </c>
      <c r="N142" s="5" t="s">
        <v>6171</v>
      </c>
      <c r="O142" s="5" t="s">
        <v>6268</v>
      </c>
    </row>
    <row r="143" spans="2:15">
      <c r="B143" s="5" t="s">
        <v>137</v>
      </c>
      <c r="C143" s="5" t="str">
        <f>"Plane Short Chandelier EU"</f>
        <v>Plane Short Chandelier EU</v>
      </c>
      <c r="D143" s="42">
        <f>1100</f>
        <v>1100</v>
      </c>
      <c r="E143" s="5"/>
      <c r="F143" s="5"/>
      <c r="G143" s="42"/>
      <c r="H143" s="7">
        <v>1</v>
      </c>
      <c r="I143" s="5">
        <v>0.5</v>
      </c>
      <c r="J143" s="5">
        <v>0.375</v>
      </c>
      <c r="K143" s="5">
        <v>0.375</v>
      </c>
      <c r="L143" s="5">
        <v>3.32</v>
      </c>
      <c r="M143" s="5" t="s">
        <v>6158</v>
      </c>
      <c r="N143" s="5" t="s">
        <v>6171</v>
      </c>
      <c r="O143" s="5" t="s">
        <v>6269</v>
      </c>
    </row>
    <row r="144" spans="2:15">
      <c r="B144" s="5" t="s">
        <v>138</v>
      </c>
      <c r="C144" s="5" t="str">
        <f>"Plane Drop Chandelier EU"</f>
        <v>Plane Drop Chandelier EU</v>
      </c>
      <c r="D144" s="42">
        <f>5855</f>
        <v>5855</v>
      </c>
      <c r="E144" s="5"/>
      <c r="F144" s="5"/>
      <c r="G144" s="42"/>
      <c r="H144" s="7">
        <v>1</v>
      </c>
      <c r="I144" s="5">
        <v>0.27</v>
      </c>
      <c r="J144" s="5">
        <v>0.73</v>
      </c>
      <c r="K144" s="5">
        <v>1.72</v>
      </c>
      <c r="L144" s="5">
        <v>20.7</v>
      </c>
      <c r="M144" s="5" t="s">
        <v>6158</v>
      </c>
      <c r="N144" s="5" t="s">
        <v>6171</v>
      </c>
      <c r="O144" s="5" t="s">
        <v>6270</v>
      </c>
    </row>
    <row r="145" spans="2:16">
      <c r="B145" s="5" t="s">
        <v>139</v>
      </c>
      <c r="C145" s="5" t="str">
        <f>"Spot Pendant Round Black EU"</f>
        <v>Spot Pendant Round Black EU</v>
      </c>
      <c r="D145" s="42">
        <f>330</f>
        <v>330</v>
      </c>
      <c r="E145" s="5"/>
      <c r="F145" s="5"/>
      <c r="G145" s="42"/>
      <c r="H145" s="7">
        <v>1</v>
      </c>
      <c r="I145" s="5">
        <v>0.16200000000000001</v>
      </c>
      <c r="J145" s="5">
        <v>0.18</v>
      </c>
      <c r="K145" s="5">
        <v>0.307</v>
      </c>
      <c r="L145" s="5">
        <v>1.8</v>
      </c>
      <c r="M145" s="5" t="s">
        <v>6158</v>
      </c>
      <c r="N145" s="5" t="s">
        <v>6171</v>
      </c>
      <c r="O145" s="5" t="s">
        <v>6271</v>
      </c>
    </row>
    <row r="146" spans="2:16">
      <c r="B146" s="5" t="s">
        <v>140</v>
      </c>
      <c r="C146" s="5" t="str">
        <f>"Spot Pendant Round EU"</f>
        <v>Spot Pendant Round EU</v>
      </c>
      <c r="D146" s="42">
        <f>330</f>
        <v>330</v>
      </c>
      <c r="E146" s="5"/>
      <c r="F146" s="5"/>
      <c r="G146" s="42"/>
      <c r="H146" s="7">
        <v>1</v>
      </c>
      <c r="I146" s="5">
        <v>0.16200000000000001</v>
      </c>
      <c r="J146" s="5">
        <v>0.18</v>
      </c>
      <c r="K146" s="5">
        <v>0.307</v>
      </c>
      <c r="L146" s="5">
        <v>1.8</v>
      </c>
      <c r="M146" s="5" t="s">
        <v>6158</v>
      </c>
      <c r="N146" s="5" t="s">
        <v>6171</v>
      </c>
      <c r="O146" s="5" t="s">
        <v>6272</v>
      </c>
    </row>
    <row r="147" spans="2:16">
      <c r="B147" s="5" t="s">
        <v>141</v>
      </c>
      <c r="C147" s="5" t="str">
        <f>"Spot Wall Round Black EU"</f>
        <v>Spot Wall Round Black EU</v>
      </c>
      <c r="D147" s="42">
        <f>330</f>
        <v>330</v>
      </c>
      <c r="E147" s="5"/>
      <c r="F147" s="5"/>
      <c r="G147" s="42"/>
      <c r="H147" s="7">
        <v>1</v>
      </c>
      <c r="I147" s="5">
        <v>0.16500000000000001</v>
      </c>
      <c r="J147" s="5">
        <v>0.16500000000000001</v>
      </c>
      <c r="K147" s="5">
        <v>0.16500000000000001</v>
      </c>
      <c r="L147" s="5">
        <v>1.6</v>
      </c>
      <c r="M147" s="5" t="s">
        <v>6158</v>
      </c>
      <c r="N147" s="5" t="s">
        <v>6171</v>
      </c>
      <c r="O147" s="5" t="s">
        <v>6273</v>
      </c>
    </row>
    <row r="148" spans="2:16">
      <c r="B148" s="5" t="s">
        <v>142</v>
      </c>
      <c r="C148" s="5" t="str">
        <f>"Spot Wall Obround EU"</f>
        <v>Spot Wall Obround EU</v>
      </c>
      <c r="D148" s="42">
        <f>330</f>
        <v>330</v>
      </c>
      <c r="E148" s="5"/>
      <c r="F148" s="5"/>
      <c r="G148" s="42"/>
      <c r="H148" s="7">
        <v>1</v>
      </c>
      <c r="I148" s="5">
        <v>0.13900000000000001</v>
      </c>
      <c r="J148" s="5">
        <v>0.17199999999999999</v>
      </c>
      <c r="K148" s="5">
        <v>0.24199999999999999</v>
      </c>
      <c r="L148" s="5">
        <v>2.5</v>
      </c>
      <c r="M148" s="5" t="s">
        <v>6158</v>
      </c>
      <c r="N148" s="5" t="s">
        <v>6171</v>
      </c>
      <c r="O148" s="5" t="s">
        <v>6274</v>
      </c>
    </row>
    <row r="149" spans="2:16">
      <c r="B149" s="5" t="s">
        <v>143</v>
      </c>
      <c r="C149" s="5" t="str">
        <f>"Spot Wall Obround Black EU"</f>
        <v>Spot Wall Obround Black EU</v>
      </c>
      <c r="D149" s="42">
        <f>330</f>
        <v>330</v>
      </c>
      <c r="E149" s="5"/>
      <c r="F149" s="5"/>
      <c r="G149" s="42"/>
      <c r="H149" s="7">
        <v>1</v>
      </c>
      <c r="I149" s="5">
        <v>0.13900000000000001</v>
      </c>
      <c r="J149" s="5">
        <v>0.17199999999999999</v>
      </c>
      <c r="K149" s="5">
        <v>0.24199999999999999</v>
      </c>
      <c r="L149" s="5">
        <v>2.5</v>
      </c>
      <c r="M149" s="5" t="s">
        <v>6158</v>
      </c>
      <c r="N149" s="5" t="s">
        <v>6171</v>
      </c>
      <c r="O149" s="5" t="s">
        <v>6275</v>
      </c>
    </row>
    <row r="150" spans="2:16">
      <c r="B150" s="5" t="s">
        <v>144</v>
      </c>
      <c r="C150" s="5" t="str">
        <f>"Spot Wall Round EU"</f>
        <v>Spot Wall Round EU</v>
      </c>
      <c r="D150" s="42">
        <f>330</f>
        <v>330</v>
      </c>
      <c r="E150" s="5"/>
      <c r="F150" s="5"/>
      <c r="G150" s="42"/>
      <c r="H150" s="7">
        <v>1</v>
      </c>
      <c r="I150" s="5">
        <v>0.16500000000000001</v>
      </c>
      <c r="J150" s="5">
        <v>0.16500000000000001</v>
      </c>
      <c r="K150" s="5">
        <v>0.16500000000000001</v>
      </c>
      <c r="L150" s="5">
        <v>1.6</v>
      </c>
      <c r="M150" s="5" t="s">
        <v>6158</v>
      </c>
      <c r="N150" s="5" t="s">
        <v>6171</v>
      </c>
      <c r="O150" s="5" t="s">
        <v>6276</v>
      </c>
    </row>
    <row r="151" spans="2:16">
      <c r="B151" s="5" t="s">
        <v>145</v>
      </c>
      <c r="C151" s="5" t="str">
        <f>"Stone Pendant EU"</f>
        <v>Stone Pendant EU</v>
      </c>
      <c r="D151" s="42">
        <f>255</f>
        <v>255</v>
      </c>
      <c r="E151" s="5"/>
      <c r="F151" s="5"/>
      <c r="G151" s="42"/>
      <c r="H151" s="7">
        <v>1</v>
      </c>
      <c r="I151" s="5">
        <v>0.22</v>
      </c>
      <c r="J151" s="5">
        <v>0.22</v>
      </c>
      <c r="K151" s="5">
        <v>0.21</v>
      </c>
      <c r="L151" s="5">
        <v>3.61</v>
      </c>
      <c r="M151" s="5" t="s">
        <v>6158</v>
      </c>
      <c r="N151" s="5" t="s">
        <v>6171</v>
      </c>
      <c r="O151" s="5" t="s">
        <v>6277</v>
      </c>
    </row>
    <row r="152" spans="2:16">
      <c r="B152" s="5" t="s">
        <v>146</v>
      </c>
      <c r="C152" s="5" t="str">
        <f>"Stone Wall EU"</f>
        <v>Stone Wall EU</v>
      </c>
      <c r="D152" s="42">
        <f>265</f>
        <v>265</v>
      </c>
      <c r="E152" s="5"/>
      <c r="F152" s="5"/>
      <c r="G152" s="42"/>
      <c r="H152" s="7">
        <v>1</v>
      </c>
      <c r="I152" s="5">
        <v>0.22</v>
      </c>
      <c r="J152" s="5">
        <v>0.22</v>
      </c>
      <c r="K152" s="5">
        <v>0.21</v>
      </c>
      <c r="L152" s="5">
        <v>3.57</v>
      </c>
      <c r="M152" s="5" t="s">
        <v>6158</v>
      </c>
      <c r="N152" s="5" t="s">
        <v>6278</v>
      </c>
      <c r="O152" s="5" t="s">
        <v>6279</v>
      </c>
    </row>
    <row r="153" spans="2:16">
      <c r="B153" s="5" t="s">
        <v>147</v>
      </c>
      <c r="C153" s="5" t="str">
        <f>"Stone Table EU"</f>
        <v>Stone Table EU</v>
      </c>
      <c r="D153" s="42">
        <f>225</f>
        <v>225</v>
      </c>
      <c r="E153" s="5"/>
      <c r="F153" s="5"/>
      <c r="G153" s="42"/>
      <c r="H153" s="7">
        <v>1</v>
      </c>
      <c r="I153" s="5">
        <v>0.21</v>
      </c>
      <c r="J153" s="5">
        <v>0.222</v>
      </c>
      <c r="K153" s="5">
        <v>0.222</v>
      </c>
      <c r="L153" s="5">
        <v>3.55</v>
      </c>
      <c r="M153" s="5" t="s">
        <v>6158</v>
      </c>
      <c r="N153" s="5" t="s">
        <v>6166</v>
      </c>
      <c r="O153" s="5" t="s">
        <v>6280</v>
      </c>
    </row>
    <row r="154" spans="2:16">
      <c r="B154" s="5" t="s">
        <v>148</v>
      </c>
      <c r="C154" s="5" t="str">
        <f>"Top Silver Pendant EU"</f>
        <v>Top Silver Pendant EU</v>
      </c>
      <c r="D154" s="42">
        <f>640</f>
        <v>640</v>
      </c>
      <c r="E154" s="5"/>
      <c r="F154" s="5"/>
      <c r="G154" s="42"/>
      <c r="H154" s="7">
        <v>1</v>
      </c>
      <c r="I154" s="5">
        <v>0.53</v>
      </c>
      <c r="J154" s="5">
        <v>0.5</v>
      </c>
      <c r="K154" s="5">
        <v>0.5</v>
      </c>
      <c r="L154" s="5">
        <v>3.5</v>
      </c>
      <c r="M154" s="5" t="s">
        <v>6158</v>
      </c>
      <c r="N154" s="5" t="s">
        <v>6162</v>
      </c>
      <c r="O154" s="5" t="s">
        <v>6281</v>
      </c>
    </row>
    <row r="155" spans="2:16" hidden="1" outlineLevel="1">
      <c r="B155" s="5" t="s">
        <v>149</v>
      </c>
      <c r="C155" s="5" t="str">
        <f>"Void Brass Pendant EU"</f>
        <v>Void Brass Pendant EU</v>
      </c>
      <c r="D155" s="42">
        <f>380</f>
        <v>380</v>
      </c>
      <c r="E155" s="5" t="s">
        <v>27</v>
      </c>
      <c r="F155" s="5" t="str">
        <f>IF($E155="","","Standard Pendt Fitting EU W33")</f>
        <v>Standard Pendt Fitting EU W33</v>
      </c>
      <c r="G155" s="42">
        <f>IF($E155="","",70)</f>
        <v>70</v>
      </c>
      <c r="H155" s="7">
        <f>IF(E155="","",1)</f>
        <v>1</v>
      </c>
      <c r="I155" s="5">
        <v>0.14000000000000001</v>
      </c>
      <c r="J155" s="5">
        <v>0.17</v>
      </c>
      <c r="K155" s="5">
        <v>0.19</v>
      </c>
      <c r="L155" s="5">
        <v>0.54</v>
      </c>
      <c r="M155" s="5" t="s">
        <v>6158</v>
      </c>
      <c r="N155" s="5" t="s">
        <v>6171</v>
      </c>
      <c r="O155" s="5" t="s">
        <v>6173</v>
      </c>
    </row>
    <row r="156" spans="2:16" hidden="1" outlineLevel="1">
      <c r="B156" s="5" t="s">
        <v>149</v>
      </c>
      <c r="C156" s="5" t="str">
        <f>"Void Brass Pendant EU"</f>
        <v>Void Brass Pendant EU</v>
      </c>
      <c r="D156" s="42">
        <f>380</f>
        <v>380</v>
      </c>
      <c r="E156" s="5" t="s">
        <v>150</v>
      </c>
      <c r="F156" s="5" t="str">
        <f>IF($E156="","","Void Shade - Brass")</f>
        <v>Void Shade - Brass</v>
      </c>
      <c r="G156" s="42">
        <f>IF($E156="","",310)</f>
        <v>310</v>
      </c>
      <c r="H156" s="7">
        <f>IF(E156="","",1)</f>
        <v>1</v>
      </c>
      <c r="I156" s="5">
        <v>0.21</v>
      </c>
      <c r="J156" s="5">
        <v>0.36</v>
      </c>
      <c r="K156" s="5">
        <v>0.36</v>
      </c>
      <c r="L156" s="5">
        <v>3.15</v>
      </c>
      <c r="M156" s="5" t="s">
        <v>6161</v>
      </c>
      <c r="N156" s="5" t="s">
        <v>6282</v>
      </c>
      <c r="O156" s="5" t="s">
        <v>6283</v>
      </c>
    </row>
    <row r="157" spans="2:16" collapsed="1">
      <c r="B157" s="5" t="s">
        <v>149</v>
      </c>
      <c r="C157" s="5" t="str">
        <f>"Void Brass Pendant EU"</f>
        <v>Void Brass Pendant EU</v>
      </c>
      <c r="D157" s="42">
        <f>380</f>
        <v>380</v>
      </c>
      <c r="E157" s="5"/>
      <c r="F157" s="5"/>
      <c r="G157" s="42"/>
      <c r="H157" s="7"/>
      <c r="I157" s="5"/>
      <c r="J157" s="5"/>
      <c r="K157" s="5"/>
      <c r="L157" s="5"/>
      <c r="M157" s="5"/>
      <c r="N157" s="5"/>
      <c r="O157" s="5" t="s">
        <v>1039</v>
      </c>
      <c r="P157" s="3"/>
    </row>
    <row r="158" spans="2:16" hidden="1" outlineLevel="1">
      <c r="B158" s="5" t="s">
        <v>151</v>
      </c>
      <c r="C158" s="5" t="str">
        <f>"Void Mini Brass Pendant  EU"</f>
        <v>Void Mini Brass Pendant  EU</v>
      </c>
      <c r="D158" s="42">
        <f>225</f>
        <v>225</v>
      </c>
      <c r="E158" s="5" t="s">
        <v>27</v>
      </c>
      <c r="F158" s="5" t="str">
        <f>IF($E158="","","Standard Pendt Fitting EU W33")</f>
        <v>Standard Pendt Fitting EU W33</v>
      </c>
      <c r="G158" s="42">
        <f>IF($E158="","",70)</f>
        <v>70</v>
      </c>
      <c r="H158" s="7">
        <f>IF(E158="","",1)</f>
        <v>1</v>
      </c>
      <c r="I158" s="5">
        <v>0.14000000000000001</v>
      </c>
      <c r="J158" s="5">
        <v>0.17</v>
      </c>
      <c r="K158" s="5">
        <v>0.19</v>
      </c>
      <c r="L158" s="5">
        <v>0.54</v>
      </c>
      <c r="M158" s="5" t="s">
        <v>6158</v>
      </c>
      <c r="N158" s="5" t="s">
        <v>6171</v>
      </c>
      <c r="O158" s="5" t="s">
        <v>6173</v>
      </c>
    </row>
    <row r="159" spans="2:16" hidden="1" outlineLevel="1">
      <c r="B159" s="5" t="s">
        <v>151</v>
      </c>
      <c r="C159" s="5" t="str">
        <f>"Void Mini Brass Pendant  EU"</f>
        <v>Void Mini Brass Pendant  EU</v>
      </c>
      <c r="D159" s="42">
        <f>225</f>
        <v>225</v>
      </c>
      <c r="E159" s="5" t="s">
        <v>152</v>
      </c>
      <c r="F159" s="5" t="str">
        <f>IF($E159="","","Void Mini - Brass")</f>
        <v>Void Mini - Brass</v>
      </c>
      <c r="G159" s="42">
        <f>IF($E159="","",155)</f>
        <v>155</v>
      </c>
      <c r="H159" s="7">
        <f>IF(E159="","",1)</f>
        <v>1</v>
      </c>
      <c r="I159" s="5">
        <v>0.16500000000000001</v>
      </c>
      <c r="J159" s="5">
        <v>0.20499999999999999</v>
      </c>
      <c r="K159" s="5">
        <v>0.20499999999999999</v>
      </c>
      <c r="L159" s="5">
        <v>1.05</v>
      </c>
      <c r="M159" s="5" t="s">
        <v>6161</v>
      </c>
      <c r="N159" s="5" t="s">
        <v>6282</v>
      </c>
      <c r="O159" s="5" t="s">
        <v>6284</v>
      </c>
    </row>
    <row r="160" spans="2:16" collapsed="1">
      <c r="B160" s="5" t="s">
        <v>151</v>
      </c>
      <c r="C160" s="5" t="str">
        <f>"Void Mini Brass Pendant  EU"</f>
        <v>Void Mini Brass Pendant  EU</v>
      </c>
      <c r="D160" s="42">
        <f>225</f>
        <v>225</v>
      </c>
      <c r="E160" s="5"/>
      <c r="F160" s="5"/>
      <c r="G160" s="42"/>
      <c r="H160" s="7"/>
      <c r="I160" s="5"/>
      <c r="J160" s="5"/>
      <c r="K160" s="5"/>
      <c r="L160" s="5"/>
      <c r="M160" s="5"/>
      <c r="N160" s="5"/>
      <c r="O160" s="5" t="s">
        <v>1039</v>
      </c>
      <c r="P160" s="3"/>
    </row>
    <row r="161" spans="2:16" hidden="1" outlineLevel="1">
      <c r="B161" s="5" t="s">
        <v>153</v>
      </c>
      <c r="C161" s="5" t="str">
        <f>"Void Copper Pendant EU"</f>
        <v>Void Copper Pendant EU</v>
      </c>
      <c r="D161" s="42">
        <f>380</f>
        <v>380</v>
      </c>
      <c r="E161" s="5" t="s">
        <v>27</v>
      </c>
      <c r="F161" s="5" t="str">
        <f>IF($E161="","","Standard Pendt Fitting EU W33")</f>
        <v>Standard Pendt Fitting EU W33</v>
      </c>
      <c r="G161" s="42">
        <f>IF($E161="","",70)</f>
        <v>70</v>
      </c>
      <c r="H161" s="7">
        <f>IF(E161="","",1)</f>
        <v>1</v>
      </c>
      <c r="I161" s="5">
        <v>0.14000000000000001</v>
      </c>
      <c r="J161" s="5">
        <v>0.17</v>
      </c>
      <c r="K161" s="5">
        <v>0.19</v>
      </c>
      <c r="L161" s="5">
        <v>0.54</v>
      </c>
      <c r="M161" s="5" t="s">
        <v>6158</v>
      </c>
      <c r="N161" s="5" t="s">
        <v>6171</v>
      </c>
      <c r="O161" s="5" t="s">
        <v>6173</v>
      </c>
    </row>
    <row r="162" spans="2:16" hidden="1" outlineLevel="1">
      <c r="B162" s="5" t="s">
        <v>153</v>
      </c>
      <c r="C162" s="5" t="str">
        <f>"Void Copper Pendant EU"</f>
        <v>Void Copper Pendant EU</v>
      </c>
      <c r="D162" s="42">
        <f>380</f>
        <v>380</v>
      </c>
      <c r="E162" s="5" t="s">
        <v>154</v>
      </c>
      <c r="F162" s="5" t="str">
        <f>IF($E162="","","Void Shade - Copper")</f>
        <v>Void Shade - Copper</v>
      </c>
      <c r="G162" s="42">
        <f>IF($E162="","",310)</f>
        <v>310</v>
      </c>
      <c r="H162" s="7">
        <f>IF(E162="","",1)</f>
        <v>1</v>
      </c>
      <c r="I162" s="5">
        <v>0.21</v>
      </c>
      <c r="J162" s="5">
        <v>0.36</v>
      </c>
      <c r="K162" s="5">
        <v>0.36</v>
      </c>
      <c r="L162" s="5">
        <v>3.2</v>
      </c>
      <c r="M162" s="5" t="s">
        <v>6161</v>
      </c>
      <c r="N162" s="5" t="s">
        <v>6282</v>
      </c>
      <c r="O162" s="5" t="s">
        <v>6285</v>
      </c>
    </row>
    <row r="163" spans="2:16" collapsed="1">
      <c r="B163" s="5" t="s">
        <v>153</v>
      </c>
      <c r="C163" s="5" t="str">
        <f>"Void Copper Pendant EU"</f>
        <v>Void Copper Pendant EU</v>
      </c>
      <c r="D163" s="42">
        <f>380</f>
        <v>380</v>
      </c>
      <c r="E163" s="5"/>
      <c r="F163" s="5"/>
      <c r="G163" s="42"/>
      <c r="H163" s="7"/>
      <c r="I163" s="5"/>
      <c r="J163" s="5"/>
      <c r="K163" s="5"/>
      <c r="L163" s="5"/>
      <c r="M163" s="5"/>
      <c r="N163" s="5"/>
      <c r="O163" s="5" t="s">
        <v>1039</v>
      </c>
      <c r="P163" s="3"/>
    </row>
    <row r="164" spans="2:16" hidden="1" outlineLevel="1">
      <c r="B164" s="5" t="s">
        <v>155</v>
      </c>
      <c r="C164" s="5" t="str">
        <f>"Void Mini Copper Pendant EU"</f>
        <v>Void Mini Copper Pendant EU</v>
      </c>
      <c r="D164" s="42">
        <f>225</f>
        <v>225</v>
      </c>
      <c r="E164" s="5" t="s">
        <v>27</v>
      </c>
      <c r="F164" s="5" t="str">
        <f>IF($E164="","","Standard Pendt Fitting EU W33")</f>
        <v>Standard Pendt Fitting EU W33</v>
      </c>
      <c r="G164" s="42">
        <f>IF($E164="","",70)</f>
        <v>70</v>
      </c>
      <c r="H164" s="7">
        <f>IF(E164="","",1)</f>
        <v>1</v>
      </c>
      <c r="I164" s="5">
        <v>0.14000000000000001</v>
      </c>
      <c r="J164" s="5">
        <v>0.17</v>
      </c>
      <c r="K164" s="5">
        <v>0.19</v>
      </c>
      <c r="L164" s="5">
        <v>0.54</v>
      </c>
      <c r="M164" s="5" t="s">
        <v>6158</v>
      </c>
      <c r="N164" s="5" t="s">
        <v>6171</v>
      </c>
      <c r="O164" s="5" t="s">
        <v>6173</v>
      </c>
    </row>
    <row r="165" spans="2:16" hidden="1" outlineLevel="1">
      <c r="B165" s="5" t="s">
        <v>155</v>
      </c>
      <c r="C165" s="5" t="str">
        <f>"Void Mini Copper Pendant EU"</f>
        <v>Void Mini Copper Pendant EU</v>
      </c>
      <c r="D165" s="42">
        <f>225</f>
        <v>225</v>
      </c>
      <c r="E165" s="5" t="s">
        <v>156</v>
      </c>
      <c r="F165" s="5" t="str">
        <f>IF($E165="","","Void Mini - Copper")</f>
        <v>Void Mini - Copper</v>
      </c>
      <c r="G165" s="42">
        <f>IF($E165="","",155)</f>
        <v>155</v>
      </c>
      <c r="H165" s="7">
        <f>IF(E165="","",1)</f>
        <v>1</v>
      </c>
      <c r="I165" s="5">
        <v>0.16500000000000001</v>
      </c>
      <c r="J165" s="5">
        <v>0.20499999999999999</v>
      </c>
      <c r="K165" s="5">
        <v>0.20499999999999999</v>
      </c>
      <c r="L165" s="5">
        <v>1.05</v>
      </c>
      <c r="M165" s="5" t="s">
        <v>6161</v>
      </c>
      <c r="N165" s="5" t="s">
        <v>6282</v>
      </c>
      <c r="O165" s="5" t="s">
        <v>6286</v>
      </c>
    </row>
    <row r="166" spans="2:16" collapsed="1">
      <c r="B166" s="5" t="s">
        <v>155</v>
      </c>
      <c r="C166" s="5" t="str">
        <f>"Void Mini Copper Pendant EU"</f>
        <v>Void Mini Copper Pendant EU</v>
      </c>
      <c r="D166" s="42">
        <f>225</f>
        <v>225</v>
      </c>
      <c r="E166" s="5"/>
      <c r="F166" s="5"/>
      <c r="G166" s="42"/>
      <c r="H166" s="7"/>
      <c r="I166" s="5"/>
      <c r="J166" s="5"/>
      <c r="K166" s="5"/>
      <c r="L166" s="5"/>
      <c r="M166" s="5"/>
      <c r="N166" s="5"/>
      <c r="O166" s="5" t="s">
        <v>1039</v>
      </c>
      <c r="P166" s="3"/>
    </row>
    <row r="167" spans="2:16" hidden="1" outlineLevel="1">
      <c r="B167" s="5" t="s">
        <v>157</v>
      </c>
      <c r="C167" s="5" t="str">
        <f>"Void Steel Pendant EU"</f>
        <v>Void Steel Pendant EU</v>
      </c>
      <c r="D167" s="42">
        <f>380</f>
        <v>380</v>
      </c>
      <c r="E167" s="5" t="s">
        <v>27</v>
      </c>
      <c r="F167" s="5" t="str">
        <f>IF($E167="","","Standard Pendt Fitting EU W33")</f>
        <v>Standard Pendt Fitting EU W33</v>
      </c>
      <c r="G167" s="42">
        <f>IF($E167="","",70)</f>
        <v>70</v>
      </c>
      <c r="H167" s="7">
        <f>IF(E167="","",1)</f>
        <v>1</v>
      </c>
      <c r="I167" s="5">
        <v>0.14000000000000001</v>
      </c>
      <c r="J167" s="5">
        <v>0.17</v>
      </c>
      <c r="K167" s="5">
        <v>0.19</v>
      </c>
      <c r="L167" s="5">
        <v>0.54</v>
      </c>
      <c r="M167" s="5" t="s">
        <v>6158</v>
      </c>
      <c r="N167" s="5" t="s">
        <v>6171</v>
      </c>
      <c r="O167" s="5" t="s">
        <v>6173</v>
      </c>
    </row>
    <row r="168" spans="2:16" hidden="1" outlineLevel="1">
      <c r="B168" s="5" t="s">
        <v>157</v>
      </c>
      <c r="C168" s="5" t="str">
        <f>"Void Steel Pendant EU"</f>
        <v>Void Steel Pendant EU</v>
      </c>
      <c r="D168" s="42">
        <f>380</f>
        <v>380</v>
      </c>
      <c r="E168" s="5" t="s">
        <v>158</v>
      </c>
      <c r="F168" s="5" t="str">
        <f>IF($E168="","","Void Shade - Steel")</f>
        <v>Void Shade - Steel</v>
      </c>
      <c r="G168" s="42">
        <f>IF($E168="","",310)</f>
        <v>310</v>
      </c>
      <c r="H168" s="7">
        <f>IF(E168="","",1)</f>
        <v>1</v>
      </c>
      <c r="I168" s="5">
        <v>0.21</v>
      </c>
      <c r="J168" s="5">
        <v>0.36</v>
      </c>
      <c r="K168" s="5">
        <v>0.36</v>
      </c>
      <c r="L168" s="5">
        <v>2.7</v>
      </c>
      <c r="M168" s="5" t="s">
        <v>6161</v>
      </c>
      <c r="N168" s="5" t="s">
        <v>6282</v>
      </c>
      <c r="O168" s="5" t="s">
        <v>6287</v>
      </c>
    </row>
    <row r="169" spans="2:16" collapsed="1">
      <c r="B169" s="5" t="s">
        <v>157</v>
      </c>
      <c r="C169" s="5" t="str">
        <f>"Void Steel Pendant EU"</f>
        <v>Void Steel Pendant EU</v>
      </c>
      <c r="D169" s="42">
        <f>380</f>
        <v>380</v>
      </c>
      <c r="E169" s="5"/>
      <c r="F169" s="5"/>
      <c r="G169" s="42"/>
      <c r="H169" s="7"/>
      <c r="I169" s="5"/>
      <c r="J169" s="5"/>
      <c r="K169" s="5"/>
      <c r="L169" s="5"/>
      <c r="M169" s="5"/>
      <c r="N169" s="5"/>
      <c r="O169" s="5" t="s">
        <v>1039</v>
      </c>
      <c r="P169" s="3"/>
    </row>
    <row r="170" spans="2:16" hidden="1" outlineLevel="1">
      <c r="B170" s="5" t="s">
        <v>159</v>
      </c>
      <c r="C170" s="5" t="str">
        <f>"Void Mini Steel Pendant EU"</f>
        <v>Void Mini Steel Pendant EU</v>
      </c>
      <c r="D170" s="42">
        <f>225</f>
        <v>225</v>
      </c>
      <c r="E170" s="5" t="s">
        <v>27</v>
      </c>
      <c r="F170" s="5" t="str">
        <f>IF($E170="","","Standard Pendt Fitting EU W33")</f>
        <v>Standard Pendt Fitting EU W33</v>
      </c>
      <c r="G170" s="42">
        <f>IF($E170="","",70)</f>
        <v>70</v>
      </c>
      <c r="H170" s="7">
        <f>IF(E170="","",1)</f>
        <v>1</v>
      </c>
      <c r="I170" s="5">
        <v>0.14000000000000001</v>
      </c>
      <c r="J170" s="5">
        <v>0.17</v>
      </c>
      <c r="K170" s="5">
        <v>0.19</v>
      </c>
      <c r="L170" s="5">
        <v>0.54</v>
      </c>
      <c r="M170" s="5" t="s">
        <v>6158</v>
      </c>
      <c r="N170" s="5" t="s">
        <v>6171</v>
      </c>
      <c r="O170" s="5" t="s">
        <v>6173</v>
      </c>
    </row>
    <row r="171" spans="2:16" hidden="1" outlineLevel="1">
      <c r="B171" s="5" t="s">
        <v>159</v>
      </c>
      <c r="C171" s="5" t="str">
        <f>"Void Mini Steel Pendant EU"</f>
        <v>Void Mini Steel Pendant EU</v>
      </c>
      <c r="D171" s="42">
        <f>225</f>
        <v>225</v>
      </c>
      <c r="E171" s="5" t="s">
        <v>160</v>
      </c>
      <c r="F171" s="5" t="str">
        <f>IF($E171="","","Void Mini - Stainless Steel")</f>
        <v>Void Mini - Stainless Steel</v>
      </c>
      <c r="G171" s="42">
        <f>IF($E171="","",155)</f>
        <v>155</v>
      </c>
      <c r="H171" s="7">
        <f>IF(E171="","",1)</f>
        <v>1</v>
      </c>
      <c r="I171" s="5">
        <v>0.21</v>
      </c>
      <c r="J171" s="5">
        <v>0.36</v>
      </c>
      <c r="K171" s="5">
        <v>0.36</v>
      </c>
      <c r="L171" s="5">
        <v>0.85</v>
      </c>
      <c r="M171" s="5" t="s">
        <v>6161</v>
      </c>
      <c r="N171" s="5" t="s">
        <v>6282</v>
      </c>
      <c r="O171" s="5" t="s">
        <v>6288</v>
      </c>
    </row>
    <row r="172" spans="2:16" collapsed="1">
      <c r="B172" s="5" t="s">
        <v>159</v>
      </c>
      <c r="C172" s="5" t="str">
        <f>"Void Mini Steel Pendant EU"</f>
        <v>Void Mini Steel Pendant EU</v>
      </c>
      <c r="D172" s="42">
        <f>225</f>
        <v>225</v>
      </c>
      <c r="E172" s="5"/>
      <c r="F172" s="5"/>
      <c r="G172" s="42"/>
      <c r="H172" s="7"/>
      <c r="I172" s="5"/>
      <c r="J172" s="5"/>
      <c r="K172" s="5"/>
      <c r="L172" s="5"/>
      <c r="M172" s="5"/>
      <c r="N172" s="5"/>
      <c r="O172" s="5" t="s">
        <v>1039</v>
      </c>
      <c r="P172" s="3"/>
    </row>
    <row r="173" spans="2:16" hidden="1" outlineLevel="1">
      <c r="B173" s="5" t="s">
        <v>161</v>
      </c>
      <c r="C173" s="5" t="str">
        <f>"Void Brass Surface EU"</f>
        <v>Void Brass Surface EU</v>
      </c>
      <c r="D173" s="42">
        <f>375</f>
        <v>375</v>
      </c>
      <c r="E173" s="5" t="s">
        <v>150</v>
      </c>
      <c r="F173" s="5" t="str">
        <f>IF($E173="","","Void Shade - Brass")</f>
        <v>Void Shade - Brass</v>
      </c>
      <c r="G173" s="42">
        <f>IF($E173="","",310)</f>
        <v>310</v>
      </c>
      <c r="H173" s="7">
        <f>IF(E173="","",1)</f>
        <v>1</v>
      </c>
      <c r="I173" s="5">
        <v>0.21</v>
      </c>
      <c r="J173" s="5">
        <v>0.36</v>
      </c>
      <c r="K173" s="5">
        <v>0.36</v>
      </c>
      <c r="L173" s="5">
        <v>3.15</v>
      </c>
      <c r="M173" s="5" t="s">
        <v>6161</v>
      </c>
      <c r="N173" s="5" t="s">
        <v>6282</v>
      </c>
      <c r="O173" s="5" t="s">
        <v>6283</v>
      </c>
    </row>
    <row r="174" spans="2:16" hidden="1" outlineLevel="1">
      <c r="B174" s="5" t="s">
        <v>161</v>
      </c>
      <c r="C174" s="5" t="str">
        <f>"Void Brass Surface EU"</f>
        <v>Void Brass Surface EU</v>
      </c>
      <c r="D174" s="42">
        <f>375</f>
        <v>375</v>
      </c>
      <c r="E174" s="5" t="s">
        <v>162</v>
      </c>
      <c r="F174" s="5" t="str">
        <f>IF($E174="","","Void Surface fitting EU")</f>
        <v>Void Surface fitting EU</v>
      </c>
      <c r="G174" s="42">
        <f>IF($E174="","",65)</f>
        <v>65</v>
      </c>
      <c r="H174" s="7">
        <f>IF(E174="","",1)</f>
        <v>1</v>
      </c>
      <c r="I174" s="5">
        <v>0.215</v>
      </c>
      <c r="J174" s="5">
        <v>0.13</v>
      </c>
      <c r="K174" s="5">
        <v>0.28999999999999998</v>
      </c>
      <c r="L174" s="5">
        <v>1.2</v>
      </c>
      <c r="M174" s="5" t="s">
        <v>6158</v>
      </c>
      <c r="N174" s="5" t="s">
        <v>6166</v>
      </c>
      <c r="O174" s="5" t="s">
        <v>6289</v>
      </c>
    </row>
    <row r="175" spans="2:16" collapsed="1">
      <c r="B175" s="5" t="s">
        <v>161</v>
      </c>
      <c r="C175" s="5" t="str">
        <f>"Void Brass Surface EU"</f>
        <v>Void Brass Surface EU</v>
      </c>
      <c r="D175" s="42">
        <f>375</f>
        <v>375</v>
      </c>
      <c r="E175" s="5"/>
      <c r="F175" s="5"/>
      <c r="G175" s="42"/>
      <c r="H175" s="7"/>
      <c r="I175" s="5"/>
      <c r="J175" s="5"/>
      <c r="K175" s="5"/>
      <c r="L175" s="5"/>
      <c r="M175" s="5"/>
      <c r="N175" s="5"/>
      <c r="O175" s="5" t="s">
        <v>1039</v>
      </c>
      <c r="P175" s="3"/>
    </row>
    <row r="176" spans="2:16" hidden="1" outlineLevel="1">
      <c r="B176" s="5" t="s">
        <v>163</v>
      </c>
      <c r="C176" s="5" t="str">
        <f>"Void Copper Surface EU"</f>
        <v>Void Copper Surface EU</v>
      </c>
      <c r="D176" s="42">
        <f>375</f>
        <v>375</v>
      </c>
      <c r="E176" s="5" t="s">
        <v>154</v>
      </c>
      <c r="F176" s="5" t="str">
        <f>IF($E176="","","Void Shade - Copper")</f>
        <v>Void Shade - Copper</v>
      </c>
      <c r="G176" s="42">
        <f>IF($E176="","",310)</f>
        <v>310</v>
      </c>
      <c r="H176" s="7">
        <f>IF(E176="","",1)</f>
        <v>1</v>
      </c>
      <c r="I176" s="5">
        <v>0.21</v>
      </c>
      <c r="J176" s="5">
        <v>0.36</v>
      </c>
      <c r="K176" s="5">
        <v>0.36</v>
      </c>
      <c r="L176" s="5">
        <v>3.2</v>
      </c>
      <c r="M176" s="5" t="s">
        <v>6161</v>
      </c>
      <c r="N176" s="5" t="s">
        <v>6282</v>
      </c>
      <c r="O176" s="5" t="s">
        <v>6285</v>
      </c>
    </row>
    <row r="177" spans="2:18" hidden="1" outlineLevel="1">
      <c r="B177" s="5" t="s">
        <v>163</v>
      </c>
      <c r="C177" s="5" t="str">
        <f>"Void Copper Surface EU"</f>
        <v>Void Copper Surface EU</v>
      </c>
      <c r="D177" s="42">
        <f>375</f>
        <v>375</v>
      </c>
      <c r="E177" s="5" t="s">
        <v>162</v>
      </c>
      <c r="F177" s="5" t="str">
        <f>IF($E177="","","Void Surface fitting EU")</f>
        <v>Void Surface fitting EU</v>
      </c>
      <c r="G177" s="42">
        <f>IF($E177="","",65)</f>
        <v>65</v>
      </c>
      <c r="H177" s="7">
        <f>IF(E177="","",1)</f>
        <v>1</v>
      </c>
      <c r="I177" s="5">
        <v>0.215</v>
      </c>
      <c r="J177" s="5">
        <v>0.13</v>
      </c>
      <c r="K177" s="5">
        <v>0.28999999999999998</v>
      </c>
      <c r="L177" s="5">
        <v>1.2</v>
      </c>
      <c r="M177" s="5" t="s">
        <v>6158</v>
      </c>
      <c r="N177" s="5" t="s">
        <v>6166</v>
      </c>
      <c r="O177" s="5" t="s">
        <v>6289</v>
      </c>
    </row>
    <row r="178" spans="2:18" collapsed="1">
      <c r="B178" s="5" t="s">
        <v>163</v>
      </c>
      <c r="C178" s="5" t="str">
        <f>"Void Copper Surface EU"</f>
        <v>Void Copper Surface EU</v>
      </c>
      <c r="D178" s="42">
        <f>375</f>
        <v>375</v>
      </c>
      <c r="E178" s="5"/>
      <c r="F178" s="5"/>
      <c r="G178" s="42"/>
      <c r="H178" s="7"/>
      <c r="I178" s="5"/>
      <c r="J178" s="5"/>
      <c r="K178" s="5"/>
      <c r="L178" s="5"/>
      <c r="M178" s="5" t="s">
        <v>1039</v>
      </c>
      <c r="N178" s="5" t="s">
        <v>1039</v>
      </c>
      <c r="O178" s="5" t="s">
        <v>1039</v>
      </c>
      <c r="P178" s="3"/>
    </row>
    <row r="179" spans="2:18" hidden="1" outlineLevel="1">
      <c r="B179" s="5" t="s">
        <v>164</v>
      </c>
      <c r="C179" s="5" t="str">
        <f>"Void Steel Surface EU"</f>
        <v>Void Steel Surface EU</v>
      </c>
      <c r="D179" s="42">
        <f>375</f>
        <v>375</v>
      </c>
      <c r="E179" s="5" t="s">
        <v>158</v>
      </c>
      <c r="F179" s="5" t="str">
        <f>IF($E179="","","Void Shade - Steel")</f>
        <v>Void Shade - Steel</v>
      </c>
      <c r="G179" s="42">
        <f>IF($E179="","",310)</f>
        <v>310</v>
      </c>
      <c r="H179" s="7">
        <f>IF(E179="","",1)</f>
        <v>1</v>
      </c>
      <c r="I179" s="5">
        <v>0.21</v>
      </c>
      <c r="J179" s="5">
        <v>0.36</v>
      </c>
      <c r="K179" s="5">
        <v>0.36</v>
      </c>
      <c r="L179" s="5">
        <v>2.7</v>
      </c>
      <c r="M179" s="5" t="s">
        <v>6161</v>
      </c>
      <c r="N179" s="5" t="s">
        <v>6282</v>
      </c>
      <c r="O179" s="5" t="s">
        <v>6287</v>
      </c>
    </row>
    <row r="180" spans="2:18" hidden="1" outlineLevel="1">
      <c r="B180" s="5" t="s">
        <v>164</v>
      </c>
      <c r="C180" s="5" t="str">
        <f>"Void Steel Surface EU"</f>
        <v>Void Steel Surface EU</v>
      </c>
      <c r="D180" s="42">
        <f>375</f>
        <v>375</v>
      </c>
      <c r="E180" s="5" t="s">
        <v>162</v>
      </c>
      <c r="F180" s="5" t="str">
        <f>IF($E180="","","Void Surface fitting EU")</f>
        <v>Void Surface fitting EU</v>
      </c>
      <c r="G180" s="42">
        <f>IF($E180="","",65)</f>
        <v>65</v>
      </c>
      <c r="H180" s="7">
        <f>IF(E180="","",1)</f>
        <v>1</v>
      </c>
      <c r="I180" s="5">
        <v>0.215</v>
      </c>
      <c r="J180" s="5">
        <v>0.13</v>
      </c>
      <c r="K180" s="5">
        <v>0.28999999999999998</v>
      </c>
      <c r="L180" s="5">
        <v>1.2</v>
      </c>
      <c r="M180" s="5" t="s">
        <v>6158</v>
      </c>
      <c r="N180" s="5" t="s">
        <v>6166</v>
      </c>
      <c r="O180" s="5" t="s">
        <v>6289</v>
      </c>
    </row>
    <row r="181" spans="2:18" collapsed="1">
      <c r="B181" s="5" t="s">
        <v>164</v>
      </c>
      <c r="C181" s="5" t="str">
        <f>"Void Steel Surface EU"</f>
        <v>Void Steel Surface EU</v>
      </c>
      <c r="D181" s="42">
        <f>375</f>
        <v>375</v>
      </c>
      <c r="E181" s="5"/>
      <c r="F181" s="5"/>
      <c r="G181" s="42"/>
      <c r="H181" s="7"/>
      <c r="I181" s="5"/>
      <c r="J181" s="5"/>
      <c r="K181" s="5"/>
      <c r="L181" s="5"/>
      <c r="M181" s="5"/>
      <c r="N181" s="5"/>
      <c r="O181" s="5" t="s">
        <v>1039</v>
      </c>
      <c r="P181" s="3"/>
    </row>
    <row r="182" spans="2:18" hidden="1" outlineLevel="1">
      <c r="B182" s="5" t="s">
        <v>165</v>
      </c>
      <c r="C182" s="5" t="str">
        <f>"Felt Floor EU"</f>
        <v>Felt Floor EU</v>
      </c>
      <c r="D182" s="42">
        <f>385</f>
        <v>385</v>
      </c>
      <c r="E182" s="5" t="s">
        <v>109</v>
      </c>
      <c r="F182" s="5" t="str">
        <f>IF($E182="","","Felt Shade Grey/White")</f>
        <v>Felt Shade Grey/White</v>
      </c>
      <c r="G182" s="42">
        <f>IF($E182="","",175)</f>
        <v>175</v>
      </c>
      <c r="H182" s="7">
        <f>IF(E182="","",1)</f>
        <v>1</v>
      </c>
      <c r="I182" s="5">
        <v>0.33</v>
      </c>
      <c r="J182" s="5">
        <v>0.31</v>
      </c>
      <c r="K182" s="5">
        <v>0.31</v>
      </c>
      <c r="L182" s="5">
        <v>0.82499999999999996</v>
      </c>
      <c r="M182" s="5" t="s">
        <v>6239</v>
      </c>
      <c r="N182" s="5" t="s">
        <v>6240</v>
      </c>
      <c r="O182" s="5" t="s">
        <v>6241</v>
      </c>
    </row>
    <row r="183" spans="2:18" hidden="1" outlineLevel="1">
      <c r="B183" s="5" t="s">
        <v>165</v>
      </c>
      <c r="C183" s="5" t="str">
        <f>"Felt Floor EU"</f>
        <v>Felt Floor EU</v>
      </c>
      <c r="D183" s="42">
        <f>385</f>
        <v>385</v>
      </c>
      <c r="E183" s="5" t="s">
        <v>166</v>
      </c>
      <c r="F183" s="5" t="str">
        <f>IF($E183="","","Felt Tripod Stand EU")</f>
        <v>Felt Tripod Stand EU</v>
      </c>
      <c r="G183" s="42">
        <f>IF($E183="","",210)</f>
        <v>210</v>
      </c>
      <c r="H183" s="7">
        <f>IF(E183="","",1)</f>
        <v>1</v>
      </c>
      <c r="I183" s="5">
        <v>1.46</v>
      </c>
      <c r="J183" s="5">
        <v>0.1</v>
      </c>
      <c r="K183" s="5">
        <v>0.1</v>
      </c>
      <c r="L183" s="5">
        <v>2</v>
      </c>
      <c r="M183" s="5" t="s">
        <v>6158</v>
      </c>
      <c r="N183" s="5" t="s">
        <v>6290</v>
      </c>
      <c r="O183" s="5" t="s">
        <v>6291</v>
      </c>
    </row>
    <row r="184" spans="2:18" collapsed="1">
      <c r="B184" s="5" t="s">
        <v>165</v>
      </c>
      <c r="C184" s="5" t="str">
        <f>"Felt Floor EU"</f>
        <v>Felt Floor EU</v>
      </c>
      <c r="D184" s="42">
        <f>385</f>
        <v>385</v>
      </c>
      <c r="E184" s="5"/>
      <c r="F184" s="5"/>
      <c r="G184" s="42"/>
      <c r="H184" s="7"/>
      <c r="I184" s="5"/>
      <c r="J184" s="5"/>
      <c r="K184" s="5"/>
      <c r="L184" s="5"/>
      <c r="M184" s="5"/>
      <c r="N184" s="5"/>
      <c r="O184" s="5" t="s">
        <v>1039</v>
      </c>
      <c r="P184" s="3"/>
    </row>
    <row r="185" spans="2:18" hidden="1" outlineLevel="1">
      <c r="B185" s="5" t="s">
        <v>167</v>
      </c>
      <c r="C185" s="5" t="str">
        <f>"MELT Gold Stand Chandelier EU"</f>
        <v>MELT Gold Stand Chandelier EU</v>
      </c>
      <c r="D185" s="42">
        <f>3985</f>
        <v>3985</v>
      </c>
      <c r="E185" s="5" t="s">
        <v>168</v>
      </c>
      <c r="F185" s="5" t="str">
        <f>IF($E185="","","Melt Shade Gold 50")</f>
        <v>Melt Shade Gold 50</v>
      </c>
      <c r="G185" s="42">
        <f>IF($E185="","",565)</f>
        <v>565</v>
      </c>
      <c r="H185" s="7">
        <v>4</v>
      </c>
      <c r="I185" s="5">
        <v>0.56999999999999995</v>
      </c>
      <c r="J185" s="5">
        <v>0.53</v>
      </c>
      <c r="K185" s="5">
        <v>0.53</v>
      </c>
      <c r="L185" s="5">
        <v>4</v>
      </c>
      <c r="M185" s="5" t="s">
        <v>6206</v>
      </c>
      <c r="N185" s="5" t="s">
        <v>6171</v>
      </c>
      <c r="O185" s="5" t="s">
        <v>6292</v>
      </c>
      <c r="Q185" s="8"/>
      <c r="R185" s="8"/>
    </row>
    <row r="186" spans="2:18" hidden="1" outlineLevel="1">
      <c r="B186" s="5" t="s">
        <v>167</v>
      </c>
      <c r="C186" s="5" t="str">
        <f>"MELT Gold Stand Chandelier EU"</f>
        <v>MELT Gold Stand Chandelier EU</v>
      </c>
      <c r="D186" s="42">
        <f>3985</f>
        <v>3985</v>
      </c>
      <c r="E186" s="5" t="s">
        <v>169</v>
      </c>
      <c r="F186" s="5" t="str">
        <f>IF($E186="","","Melt Shade Mini Gold ")</f>
        <v xml:space="preserve">Melt Shade Mini Gold </v>
      </c>
      <c r="G186" s="42">
        <f>IF($E186="","",355)</f>
        <v>355</v>
      </c>
      <c r="H186" s="7">
        <v>3</v>
      </c>
      <c r="I186" s="5">
        <v>0.28000000000000003</v>
      </c>
      <c r="J186" s="5">
        <v>0.27</v>
      </c>
      <c r="K186" s="5">
        <v>0.27</v>
      </c>
      <c r="L186" s="5">
        <v>1</v>
      </c>
      <c r="M186" s="5" t="s">
        <v>6206</v>
      </c>
      <c r="N186" s="5" t="s">
        <v>6171</v>
      </c>
      <c r="O186" s="5" t="s">
        <v>6293</v>
      </c>
      <c r="Q186" s="8"/>
      <c r="R186" s="8"/>
    </row>
    <row r="187" spans="2:18" hidden="1" outlineLevel="1">
      <c r="B187" s="5" t="s">
        <v>167</v>
      </c>
      <c r="C187" s="5" t="str">
        <f>"MELT Gold Stand Chandelier EU"</f>
        <v>MELT Gold Stand Chandelier EU</v>
      </c>
      <c r="D187" s="42">
        <f>3985</f>
        <v>3985</v>
      </c>
      <c r="E187" s="5" t="s">
        <v>170</v>
      </c>
      <c r="F187" s="5" t="str">
        <f>IF($E187="","","Standing Gold Chandelier EU")</f>
        <v>Standing Gold Chandelier EU</v>
      </c>
      <c r="G187" s="42">
        <f>IF($E187="","",660)</f>
        <v>660</v>
      </c>
      <c r="H187" s="7">
        <v>1</v>
      </c>
      <c r="I187" s="5">
        <v>1.37</v>
      </c>
      <c r="J187" s="5">
        <v>0.3</v>
      </c>
      <c r="K187" s="5">
        <v>0.3</v>
      </c>
      <c r="L187" s="5">
        <v>11.05</v>
      </c>
      <c r="M187" s="5" t="s">
        <v>6158</v>
      </c>
      <c r="N187" s="5" t="s">
        <v>6171</v>
      </c>
      <c r="O187" s="5" t="s">
        <v>6294</v>
      </c>
      <c r="Q187" s="8"/>
      <c r="R187" s="8"/>
    </row>
    <row r="188" spans="2:18" collapsed="1">
      <c r="B188" s="5" t="s">
        <v>167</v>
      </c>
      <c r="C188" s="5" t="str">
        <f>"MELT Gold Stand Chandelier EU"</f>
        <v>MELT Gold Stand Chandelier EU</v>
      </c>
      <c r="D188" s="42">
        <f>3985</f>
        <v>3985</v>
      </c>
      <c r="E188" s="5"/>
      <c r="F188" s="5"/>
      <c r="G188" s="42"/>
      <c r="H188" s="7"/>
      <c r="I188" s="5"/>
      <c r="J188" s="5"/>
      <c r="K188" s="5"/>
      <c r="L188" s="5"/>
      <c r="M188" s="5"/>
      <c r="N188" s="5"/>
      <c r="O188" s="5" t="s">
        <v>1039</v>
      </c>
      <c r="P188" s="3"/>
    </row>
    <row r="189" spans="2:18" hidden="1" outlineLevel="1">
      <c r="B189" s="5" t="s">
        <v>171</v>
      </c>
      <c r="C189" s="5" t="str">
        <f>"MIRROR Gold Stand ChandelierEU"</f>
        <v>MIRROR Gold Stand ChandelierEU</v>
      </c>
      <c r="D189" s="42">
        <f>2945</f>
        <v>2945</v>
      </c>
      <c r="E189" s="5" t="s">
        <v>172</v>
      </c>
      <c r="F189" s="5" t="str">
        <f>IF($E189="","","Mirror Ball Gold 25cm/10 inch")</f>
        <v>Mirror Ball Gold 25cm/10 inch</v>
      </c>
      <c r="G189" s="42">
        <f>IF($E189="","",225)</f>
        <v>225</v>
      </c>
      <c r="H189" s="7">
        <v>3</v>
      </c>
      <c r="I189" s="5">
        <v>0.41</v>
      </c>
      <c r="J189" s="5">
        <v>0.31</v>
      </c>
      <c r="K189" s="5">
        <v>0.31</v>
      </c>
      <c r="L189" s="5">
        <v>1.7</v>
      </c>
      <c r="M189" s="5" t="s">
        <v>6206</v>
      </c>
      <c r="N189" s="5" t="s">
        <v>6171</v>
      </c>
      <c r="O189" s="5" t="s">
        <v>6295</v>
      </c>
      <c r="Q189" s="8"/>
      <c r="R189" s="8"/>
    </row>
    <row r="190" spans="2:18" hidden="1" outlineLevel="1">
      <c r="B190" s="5" t="s">
        <v>171</v>
      </c>
      <c r="C190" s="5" t="str">
        <f>"MIRROR Gold Stand ChandelierEU"</f>
        <v>MIRROR Gold Stand ChandelierEU</v>
      </c>
      <c r="D190" s="42">
        <f>2945</f>
        <v>2945</v>
      </c>
      <c r="E190" s="5" t="s">
        <v>173</v>
      </c>
      <c r="F190" s="5" t="str">
        <f>IF($E190="","","Mirror Ball Gold 40cm/ 16inch")</f>
        <v>Mirror Ball Gold 40cm/ 16inch</v>
      </c>
      <c r="G190" s="42">
        <f>IF($E190="","",360)</f>
        <v>360</v>
      </c>
      <c r="H190" s="7">
        <v>2</v>
      </c>
      <c r="I190" s="5">
        <v>0.46</v>
      </c>
      <c r="J190" s="5">
        <v>0.44</v>
      </c>
      <c r="K190" s="5">
        <v>0.44</v>
      </c>
      <c r="L190" s="5">
        <v>2.7</v>
      </c>
      <c r="M190" s="5" t="s">
        <v>6206</v>
      </c>
      <c r="N190" s="5" t="s">
        <v>6171</v>
      </c>
      <c r="O190" s="5" t="s">
        <v>6296</v>
      </c>
      <c r="Q190" s="8"/>
      <c r="R190" s="8"/>
    </row>
    <row r="191" spans="2:18" hidden="1" outlineLevel="1">
      <c r="B191" s="5" t="s">
        <v>171</v>
      </c>
      <c r="C191" s="5" t="str">
        <f>"MIRROR Gold Stand ChandelierEU"</f>
        <v>MIRROR Gold Stand ChandelierEU</v>
      </c>
      <c r="D191" s="42">
        <f>2945</f>
        <v>2945</v>
      </c>
      <c r="E191" s="5" t="s">
        <v>174</v>
      </c>
      <c r="F191" s="5" t="str">
        <f>IF($E191="","","Mirror Ball Gold 50cm/ 20inch")</f>
        <v>Mirror Ball Gold 50cm/ 20inch</v>
      </c>
      <c r="G191" s="42">
        <f>IF($E191="","",445)</f>
        <v>445</v>
      </c>
      <c r="H191" s="7">
        <v>2</v>
      </c>
      <c r="I191" s="5">
        <v>0.56999999999999995</v>
      </c>
      <c r="J191" s="5">
        <v>0.56000000000000005</v>
      </c>
      <c r="K191" s="5">
        <v>0.56000000000000005</v>
      </c>
      <c r="L191" s="5">
        <v>3.8</v>
      </c>
      <c r="M191" s="5" t="s">
        <v>6206</v>
      </c>
      <c r="N191" s="5" t="s">
        <v>6171</v>
      </c>
      <c r="O191" s="5" t="s">
        <v>6297</v>
      </c>
      <c r="Q191" s="8"/>
      <c r="R191" s="8"/>
    </row>
    <row r="192" spans="2:18" hidden="1" outlineLevel="1">
      <c r="B192" s="5" t="s">
        <v>171</v>
      </c>
      <c r="C192" s="5" t="str">
        <f>"MIRROR Gold Stand ChandelierEU"</f>
        <v>MIRROR Gold Stand ChandelierEU</v>
      </c>
      <c r="D192" s="42">
        <f>2945</f>
        <v>2945</v>
      </c>
      <c r="E192" s="5" t="s">
        <v>170</v>
      </c>
      <c r="F192" s="5" t="str">
        <f>IF($E192="","","Standing Gold Chandelier EU")</f>
        <v>Standing Gold Chandelier EU</v>
      </c>
      <c r="G192" s="42">
        <f>IF($E192="","",660)</f>
        <v>660</v>
      </c>
      <c r="H192" s="7">
        <f>IF(E192="","",1)</f>
        <v>1</v>
      </c>
      <c r="I192" s="5">
        <v>1.37</v>
      </c>
      <c r="J192" s="5">
        <v>0.3</v>
      </c>
      <c r="K192" s="5">
        <v>0.3</v>
      </c>
      <c r="L192" s="5">
        <v>11.05</v>
      </c>
      <c r="M192" s="5" t="s">
        <v>6158</v>
      </c>
      <c r="N192" s="5" t="s">
        <v>6171</v>
      </c>
      <c r="O192" s="5" t="s">
        <v>6294</v>
      </c>
      <c r="Q192" s="8"/>
      <c r="R192" s="8"/>
    </row>
    <row r="193" spans="2:16" collapsed="1">
      <c r="B193" s="5" t="s">
        <v>171</v>
      </c>
      <c r="C193" s="5" t="str">
        <f>"MIRROR Gold Stand ChandelierEU"</f>
        <v>MIRROR Gold Stand ChandelierEU</v>
      </c>
      <c r="D193" s="42">
        <f>2945</f>
        <v>2945</v>
      </c>
      <c r="E193" s="5"/>
      <c r="F193" s="5"/>
      <c r="G193" s="42"/>
      <c r="H193" s="7"/>
      <c r="I193" s="5"/>
      <c r="J193" s="5"/>
      <c r="K193" s="5"/>
      <c r="L193" s="5"/>
      <c r="M193" s="5"/>
      <c r="N193" s="5"/>
      <c r="O193" s="5" t="s">
        <v>1039</v>
      </c>
      <c r="P193" s="3"/>
    </row>
    <row r="194" spans="2:16">
      <c r="B194" s="5" t="s">
        <v>175</v>
      </c>
      <c r="C194" s="5" t="str">
        <f>"Melt Table Copper EU"</f>
        <v>Melt Table Copper EU</v>
      </c>
      <c r="D194" s="42">
        <f>515</f>
        <v>515</v>
      </c>
      <c r="E194" s="5"/>
      <c r="F194" s="5"/>
      <c r="G194" s="42"/>
      <c r="H194" s="7">
        <v>1</v>
      </c>
      <c r="I194" s="5">
        <v>0.42</v>
      </c>
      <c r="J194" s="5">
        <v>0.31</v>
      </c>
      <c r="K194" s="5">
        <v>0.31</v>
      </c>
      <c r="L194" s="5">
        <v>3.8</v>
      </c>
      <c r="M194" s="5" t="s">
        <v>6206</v>
      </c>
      <c r="N194" s="5" t="s">
        <v>6159</v>
      </c>
      <c r="O194" s="5" t="s">
        <v>6298</v>
      </c>
    </row>
    <row r="195" spans="2:16">
      <c r="B195" s="5" t="s">
        <v>176</v>
      </c>
      <c r="C195" s="5" t="str">
        <f>"Plane Table EU"</f>
        <v>Plane Table EU</v>
      </c>
      <c r="D195" s="42">
        <f>230</f>
        <v>230</v>
      </c>
      <c r="E195" s="5"/>
      <c r="F195" s="5"/>
      <c r="G195" s="42"/>
      <c r="H195" s="7">
        <v>1</v>
      </c>
      <c r="I195" s="5">
        <v>0.22</v>
      </c>
      <c r="J195" s="5">
        <v>0.3</v>
      </c>
      <c r="K195" s="5">
        <v>0.36</v>
      </c>
      <c r="L195" s="5">
        <v>2.4</v>
      </c>
      <c r="M195" s="5" t="s">
        <v>6158</v>
      </c>
      <c r="N195" s="5" t="s">
        <v>6299</v>
      </c>
      <c r="O195" s="5" t="s">
        <v>6300</v>
      </c>
    </row>
    <row r="196" spans="2:16" s="12" customFormat="1">
      <c r="B196" s="9"/>
      <c r="C196" s="9"/>
      <c r="D196" s="10"/>
      <c r="E196" s="9"/>
      <c r="F196" s="9"/>
      <c r="G196" s="10"/>
      <c r="H196" s="11"/>
      <c r="I196" s="9"/>
      <c r="J196" s="9"/>
      <c r="K196" s="9"/>
      <c r="L196" s="9"/>
      <c r="M196" s="9"/>
      <c r="N196" s="9"/>
    </row>
    <row r="197" spans="2:16" s="12" customFormat="1" ht="15.75">
      <c r="B197" s="13" t="s">
        <v>177</v>
      </c>
      <c r="C197" s="9"/>
      <c r="D197" s="10"/>
      <c r="E197" s="9"/>
      <c r="F197" s="9"/>
      <c r="G197" s="10"/>
      <c r="H197" s="11"/>
      <c r="I197" s="9"/>
      <c r="J197" s="9"/>
      <c r="K197" s="9"/>
      <c r="L197" s="9"/>
      <c r="M197" s="9"/>
      <c r="N197" s="9"/>
    </row>
    <row r="198" spans="2:16" hidden="1" outlineLevel="1">
      <c r="B198" s="5" t="s">
        <v>178</v>
      </c>
      <c r="C198" s="5" t="str">
        <f>"Beat Black Range Linear EU"</f>
        <v>Beat Black Range Linear EU</v>
      </c>
      <c r="D198" s="42">
        <f>2160</f>
        <v>2160</v>
      </c>
      <c r="E198" s="5" t="s">
        <v>46</v>
      </c>
      <c r="F198" s="5" t="str">
        <f>IF($E198="","","Beat Wide Black Pendant EU")</f>
        <v>Beat Wide Black Pendant EU</v>
      </c>
      <c r="G198" s="42">
        <f>IF($E198="","",360)</f>
        <v>360</v>
      </c>
      <c r="H198" s="7">
        <f>2</f>
        <v>2</v>
      </c>
      <c r="I198" s="5"/>
      <c r="J198" s="6"/>
      <c r="K198" s="6"/>
      <c r="L198" s="5"/>
      <c r="M198" s="5"/>
      <c r="N198" s="5"/>
    </row>
    <row r="199" spans="2:16" hidden="1" outlineLevel="1">
      <c r="B199" s="5" t="s">
        <v>178</v>
      </c>
      <c r="C199" s="5" t="str">
        <f>"Beat Black Range Linear EU"</f>
        <v>Beat Black Range Linear EU</v>
      </c>
      <c r="D199" s="42">
        <f>2160</f>
        <v>2160</v>
      </c>
      <c r="E199" s="5" t="s">
        <v>28</v>
      </c>
      <c r="F199" s="5" t="str">
        <f>IF($E199="","","Beat Fat Black Pendant EU")</f>
        <v>Beat Fat Black Pendant EU</v>
      </c>
      <c r="G199" s="42">
        <f>IF($E199="","",360)</f>
        <v>360</v>
      </c>
      <c r="H199" s="7">
        <f>2</f>
        <v>2</v>
      </c>
      <c r="I199" s="5"/>
      <c r="J199" s="6"/>
      <c r="K199" s="6"/>
      <c r="L199" s="5"/>
      <c r="M199" s="5"/>
      <c r="N199" s="5"/>
    </row>
    <row r="200" spans="2:16" hidden="1" outlineLevel="1">
      <c r="B200" s="5" t="s">
        <v>178</v>
      </c>
      <c r="C200" s="5" t="str">
        <f>"Beat Black Range Linear EU"</f>
        <v>Beat Black Range Linear EU</v>
      </c>
      <c r="D200" s="42">
        <f>2160</f>
        <v>2160</v>
      </c>
      <c r="E200" s="5" t="s">
        <v>37</v>
      </c>
      <c r="F200" s="5" t="str">
        <f>IF($E200="","","Beat Tall Black Pendant EU")</f>
        <v>Beat Tall Black Pendant EU</v>
      </c>
      <c r="G200" s="42">
        <f>IF($E200="","",360)</f>
        <v>360</v>
      </c>
      <c r="H200" s="7">
        <f>2</f>
        <v>2</v>
      </c>
      <c r="I200" s="5"/>
      <c r="J200" s="6"/>
      <c r="K200" s="6"/>
      <c r="L200" s="5"/>
      <c r="M200" s="5"/>
      <c r="N200" s="5"/>
    </row>
    <row r="201" spans="2:16" hidden="1" outlineLevel="1">
      <c r="B201" s="5" t="s">
        <v>178</v>
      </c>
      <c r="C201" s="5" t="str">
        <f>"Beat Black Range Linear EU"</f>
        <v>Beat Black Range Linear EU</v>
      </c>
      <c r="D201" s="42">
        <f>2160</f>
        <v>2160</v>
      </c>
      <c r="E201" s="5" t="s">
        <v>179</v>
      </c>
      <c r="F201" s="5" t="str">
        <f>IF($E201="","","Linear Pendant System")</f>
        <v>Linear Pendant System</v>
      </c>
      <c r="G201" s="42">
        <f>IF($E201="","",0)</f>
        <v>0</v>
      </c>
      <c r="H201" s="7">
        <f>1</f>
        <v>1</v>
      </c>
      <c r="I201" s="5"/>
      <c r="J201" s="6"/>
      <c r="K201" s="6"/>
      <c r="L201" s="5"/>
      <c r="M201" s="5"/>
      <c r="N201" s="5"/>
    </row>
    <row r="202" spans="2:16" collapsed="1">
      <c r="B202" s="5" t="s">
        <v>178</v>
      </c>
      <c r="C202" s="5" t="str">
        <f>"Beat Black Range Linear EU"</f>
        <v>Beat Black Range Linear EU</v>
      </c>
      <c r="D202" s="42">
        <f>2160</f>
        <v>2160</v>
      </c>
      <c r="E202" s="5"/>
      <c r="F202" s="5"/>
      <c r="G202" s="42"/>
      <c r="H202" s="7"/>
      <c r="I202" s="5"/>
      <c r="J202" s="14"/>
      <c r="K202" s="14"/>
      <c r="L202" s="5"/>
      <c r="M202" s="5"/>
      <c r="N202" s="5"/>
      <c r="O202" s="3"/>
      <c r="P202" s="3"/>
    </row>
    <row r="203" spans="2:16" hidden="1" outlineLevel="1">
      <c r="B203" s="5" t="s">
        <v>180</v>
      </c>
      <c r="C203" s="5" t="str">
        <f t="shared" ref="C203:C208" si="0">"Beat Black Range Round EU"</f>
        <v>Beat Black Range Round EU</v>
      </c>
      <c r="D203" s="42">
        <f>1980</f>
        <v>1980</v>
      </c>
      <c r="E203" s="5" t="s">
        <v>46</v>
      </c>
      <c r="F203" s="5" t="str">
        <f>IF($E203="","","Beat Wide Black Pendant EU")</f>
        <v>Beat Wide Black Pendant EU</v>
      </c>
      <c r="G203" s="42">
        <f>IF($E203="","",360)</f>
        <v>360</v>
      </c>
      <c r="H203" s="7">
        <f>1</f>
        <v>1</v>
      </c>
      <c r="I203" s="5"/>
      <c r="J203" s="6"/>
      <c r="K203" s="6"/>
      <c r="L203" s="5"/>
      <c r="M203" s="5"/>
      <c r="N203" s="5"/>
    </row>
    <row r="204" spans="2:16" hidden="1" outlineLevel="1">
      <c r="B204" s="5" t="s">
        <v>180</v>
      </c>
      <c r="C204" s="5" t="str">
        <f t="shared" si="0"/>
        <v>Beat Black Range Round EU</v>
      </c>
      <c r="D204" s="42">
        <f>1980</f>
        <v>1980</v>
      </c>
      <c r="E204" s="5" t="s">
        <v>28</v>
      </c>
      <c r="F204" s="5" t="str">
        <f>IF($E204="","","Beat Fat Black Pendant EU")</f>
        <v>Beat Fat Black Pendant EU</v>
      </c>
      <c r="G204" s="42">
        <f>IF($E204="","",360)</f>
        <v>360</v>
      </c>
      <c r="H204" s="7">
        <f>1</f>
        <v>1</v>
      </c>
      <c r="I204" s="5"/>
      <c r="J204" s="6"/>
      <c r="K204" s="6"/>
      <c r="L204" s="5"/>
      <c r="M204" s="5"/>
      <c r="N204" s="5"/>
    </row>
    <row r="205" spans="2:16" hidden="1" outlineLevel="1">
      <c r="B205" s="5" t="s">
        <v>180</v>
      </c>
      <c r="C205" s="5" t="str">
        <f t="shared" si="0"/>
        <v>Beat Black Range Round EU</v>
      </c>
      <c r="D205" s="42">
        <f>1980</f>
        <v>1980</v>
      </c>
      <c r="E205" s="5" t="s">
        <v>37</v>
      </c>
      <c r="F205" s="5" t="str">
        <f>IF($E205="","","Beat Tall Black Pendant EU")</f>
        <v>Beat Tall Black Pendant EU</v>
      </c>
      <c r="G205" s="42">
        <f>IF($E205="","",360)</f>
        <v>360</v>
      </c>
      <c r="H205" s="7">
        <f>1</f>
        <v>1</v>
      </c>
      <c r="I205" s="5"/>
      <c r="J205" s="6"/>
      <c r="K205" s="6"/>
      <c r="L205" s="5"/>
      <c r="M205" s="5"/>
      <c r="N205" s="5"/>
    </row>
    <row r="206" spans="2:16" hidden="1" outlineLevel="1">
      <c r="B206" s="5" t="s">
        <v>180</v>
      </c>
      <c r="C206" s="5" t="str">
        <f t="shared" si="0"/>
        <v>Beat Black Range Round EU</v>
      </c>
      <c r="D206" s="42">
        <f>1980</f>
        <v>1980</v>
      </c>
      <c r="E206" s="5" t="s">
        <v>54</v>
      </c>
      <c r="F206" s="5" t="str">
        <f>IF($E206="","","Beat Stout Black Pendant EU")</f>
        <v>Beat Stout Black Pendant EU</v>
      </c>
      <c r="G206" s="42">
        <f>IF($E206="","",900)</f>
        <v>900</v>
      </c>
      <c r="H206" s="7">
        <f>1</f>
        <v>1</v>
      </c>
      <c r="I206" s="5"/>
      <c r="J206" s="6"/>
      <c r="K206" s="6"/>
      <c r="L206" s="5"/>
      <c r="M206" s="5"/>
      <c r="N206" s="5"/>
    </row>
    <row r="207" spans="2:16" hidden="1" outlineLevel="1">
      <c r="B207" s="5" t="s">
        <v>180</v>
      </c>
      <c r="C207" s="5" t="str">
        <f t="shared" si="0"/>
        <v>Beat Black Range Round EU</v>
      </c>
      <c r="D207" s="42">
        <f>1980</f>
        <v>1980</v>
      </c>
      <c r="E207" s="5" t="s">
        <v>181</v>
      </c>
      <c r="F207" s="5" t="str">
        <f>IF($E207="","","Pendant System")</f>
        <v>Pendant System</v>
      </c>
      <c r="G207" s="42">
        <f>IF($E207="","",0)</f>
        <v>0</v>
      </c>
      <c r="H207" s="7">
        <f>1</f>
        <v>1</v>
      </c>
      <c r="I207" s="5"/>
      <c r="J207" s="6"/>
      <c r="K207" s="6"/>
      <c r="L207" s="5"/>
      <c r="M207" s="5"/>
      <c r="N207" s="5"/>
    </row>
    <row r="208" spans="2:16" collapsed="1">
      <c r="B208" s="5" t="s">
        <v>180</v>
      </c>
      <c r="C208" s="5" t="str">
        <f t="shared" si="0"/>
        <v>Beat Black Range Round EU</v>
      </c>
      <c r="D208" s="42">
        <f>1980</f>
        <v>1980</v>
      </c>
      <c r="E208" s="5"/>
      <c r="F208" s="5"/>
      <c r="G208" s="42"/>
      <c r="H208" s="7"/>
      <c r="I208" s="5"/>
      <c r="J208" s="14"/>
      <c r="K208" s="14"/>
      <c r="L208" s="5"/>
      <c r="M208" s="5"/>
      <c r="N208" s="5"/>
      <c r="O208" s="3"/>
      <c r="P208" s="3"/>
    </row>
    <row r="209" spans="2:16" hidden="1" outlineLevel="1">
      <c r="B209" s="5" t="s">
        <v>182</v>
      </c>
      <c r="C209" s="5" t="str">
        <f>"Beat Black Trio Linear 2 PS EU"</f>
        <v>Beat Black Trio Linear 2 PS EU</v>
      </c>
      <c r="D209" s="42">
        <f>1820</f>
        <v>1820</v>
      </c>
      <c r="E209" s="5" t="s">
        <v>54</v>
      </c>
      <c r="F209" s="5" t="str">
        <f>IF($E209="","","Beat Stout Black Pendant EU")</f>
        <v>Beat Stout Black Pendant EU</v>
      </c>
      <c r="G209" s="42">
        <f>IF($E209="","",900)</f>
        <v>900</v>
      </c>
      <c r="H209" s="7">
        <f>1</f>
        <v>1</v>
      </c>
      <c r="I209" s="5"/>
      <c r="J209" s="6"/>
      <c r="K209" s="6"/>
      <c r="L209" s="5"/>
      <c r="M209" s="5"/>
      <c r="N209" s="5"/>
      <c r="O209" s="3"/>
      <c r="P209" s="3"/>
    </row>
    <row r="210" spans="2:16" hidden="1" outlineLevel="1">
      <c r="B210" s="5" t="s">
        <v>182</v>
      </c>
      <c r="C210" s="5" t="str">
        <f>"Beat Black Trio Linear 2 PS EU"</f>
        <v>Beat Black Trio Linear 2 PS EU</v>
      </c>
      <c r="D210" s="42">
        <f>1820</f>
        <v>1820</v>
      </c>
      <c r="E210" s="5" t="s">
        <v>63</v>
      </c>
      <c r="F210" s="5" t="str">
        <f>IF($E210="","","Beat Waist Black Pendant EU")</f>
        <v>Beat Waist Black Pendant EU</v>
      </c>
      <c r="G210" s="42">
        <f>IF($E210="","",460)</f>
        <v>460</v>
      </c>
      <c r="H210" s="7">
        <f>1</f>
        <v>1</v>
      </c>
      <c r="I210" s="5"/>
      <c r="J210" s="6"/>
      <c r="K210" s="6"/>
      <c r="L210" s="5"/>
      <c r="M210" s="5"/>
      <c r="N210" s="5"/>
      <c r="O210" s="3"/>
      <c r="P210" s="3"/>
    </row>
    <row r="211" spans="2:16" hidden="1" outlineLevel="1">
      <c r="B211" s="5" t="s">
        <v>182</v>
      </c>
      <c r="C211" s="5" t="str">
        <f>"Beat Black Trio Linear 2 PS EU"</f>
        <v>Beat Black Trio Linear 2 PS EU</v>
      </c>
      <c r="D211" s="42">
        <f>1820</f>
        <v>1820</v>
      </c>
      <c r="E211" s="5" t="s">
        <v>61</v>
      </c>
      <c r="F211" s="5" t="str">
        <f>IF($E211="","","Beat Flat Black Pendant EU")</f>
        <v>Beat Flat Black Pendant EU</v>
      </c>
      <c r="G211" s="42">
        <f>IF($E211="","",460)</f>
        <v>460</v>
      </c>
      <c r="H211" s="7">
        <f>1</f>
        <v>1</v>
      </c>
      <c r="I211" s="5"/>
      <c r="J211" s="6"/>
      <c r="K211" s="6"/>
      <c r="L211" s="5"/>
      <c r="M211" s="5"/>
      <c r="N211" s="5"/>
      <c r="O211" s="3"/>
      <c r="P211" s="3"/>
    </row>
    <row r="212" spans="2:16" hidden="1" outlineLevel="1">
      <c r="B212" s="5" t="s">
        <v>182</v>
      </c>
      <c r="C212" s="5" t="str">
        <f>"Beat Black Trio Linear 2 PS EU"</f>
        <v>Beat Black Trio Linear 2 PS EU</v>
      </c>
      <c r="D212" s="42">
        <f>1820</f>
        <v>1820</v>
      </c>
      <c r="E212" s="5" t="s">
        <v>179</v>
      </c>
      <c r="F212" s="5" t="str">
        <f>IF($E212="","","Linear Pendant System")</f>
        <v>Linear Pendant System</v>
      </c>
      <c r="G212" s="42">
        <f>IF($E212="","",0)</f>
        <v>0</v>
      </c>
      <c r="H212" s="7">
        <f>1</f>
        <v>1</v>
      </c>
      <c r="I212" s="5"/>
      <c r="J212" s="6"/>
      <c r="K212" s="6"/>
      <c r="L212" s="5"/>
      <c r="M212" s="5"/>
      <c r="N212" s="5"/>
      <c r="O212" s="3"/>
      <c r="P212" s="3"/>
    </row>
    <row r="213" spans="2:16" collapsed="1">
      <c r="B213" s="5" t="s">
        <v>182</v>
      </c>
      <c r="C213" s="5" t="str">
        <f>"Beat Black Trio Linear 2 PS EU"</f>
        <v>Beat Black Trio Linear 2 PS EU</v>
      </c>
      <c r="D213" s="42">
        <f>1820</f>
        <v>1820</v>
      </c>
      <c r="E213" s="5"/>
      <c r="F213" s="5"/>
      <c r="G213" s="42"/>
      <c r="H213" s="7"/>
      <c r="I213" s="5"/>
      <c r="J213" s="14"/>
      <c r="K213" s="14"/>
      <c r="L213" s="5"/>
      <c r="M213" s="5"/>
      <c r="N213" s="5"/>
      <c r="O213" s="3"/>
      <c r="P213" s="3"/>
    </row>
    <row r="214" spans="2:16" hidden="1" outlineLevel="1">
      <c r="B214" s="5" t="s">
        <v>183</v>
      </c>
      <c r="C214" s="5" t="str">
        <f>"Beat Black Trio Round EU"</f>
        <v>Beat Black Trio Round EU</v>
      </c>
      <c r="D214" s="42">
        <f>1080</f>
        <v>1080</v>
      </c>
      <c r="E214" s="5" t="s">
        <v>46</v>
      </c>
      <c r="F214" s="5" t="str">
        <f>IF($E214="","","Beat Wide Black Pendant EU")</f>
        <v>Beat Wide Black Pendant EU</v>
      </c>
      <c r="G214" s="42">
        <f>IF($E214="","",360)</f>
        <v>360</v>
      </c>
      <c r="H214" s="7">
        <f>1</f>
        <v>1</v>
      </c>
      <c r="I214" s="5"/>
      <c r="J214" s="6"/>
      <c r="K214" s="6"/>
      <c r="L214" s="5"/>
      <c r="M214" s="5"/>
      <c r="N214" s="5"/>
      <c r="O214" s="3"/>
      <c r="P214" s="3"/>
    </row>
    <row r="215" spans="2:16" hidden="1" outlineLevel="1">
      <c r="B215" s="5" t="s">
        <v>183</v>
      </c>
      <c r="C215" s="5" t="str">
        <f>"Beat Black Trio Round EU"</f>
        <v>Beat Black Trio Round EU</v>
      </c>
      <c r="D215" s="42">
        <f>1080</f>
        <v>1080</v>
      </c>
      <c r="E215" s="5" t="s">
        <v>28</v>
      </c>
      <c r="F215" s="5" t="str">
        <f>IF($E215="","","Beat Fat Black Pendant EU")</f>
        <v>Beat Fat Black Pendant EU</v>
      </c>
      <c r="G215" s="42">
        <f>IF($E215="","",360)</f>
        <v>360</v>
      </c>
      <c r="H215" s="7">
        <f>1</f>
        <v>1</v>
      </c>
      <c r="I215" s="5"/>
      <c r="J215" s="6"/>
      <c r="K215" s="6"/>
      <c r="L215" s="5"/>
      <c r="M215" s="5"/>
      <c r="N215" s="5"/>
      <c r="O215" s="3"/>
      <c r="P215" s="3"/>
    </row>
    <row r="216" spans="2:16" hidden="1" outlineLevel="1">
      <c r="B216" s="5" t="s">
        <v>183</v>
      </c>
      <c r="C216" s="5" t="str">
        <f>"Beat Black Trio Round EU"</f>
        <v>Beat Black Trio Round EU</v>
      </c>
      <c r="D216" s="42">
        <f>1080</f>
        <v>1080</v>
      </c>
      <c r="E216" s="5" t="s">
        <v>37</v>
      </c>
      <c r="F216" s="5" t="str">
        <f>IF($E216="","","Beat Tall Black Pendant EU")</f>
        <v>Beat Tall Black Pendant EU</v>
      </c>
      <c r="G216" s="42">
        <f>IF($E216="","",360)</f>
        <v>360</v>
      </c>
      <c r="H216" s="7">
        <f>1</f>
        <v>1</v>
      </c>
      <c r="I216" s="5"/>
      <c r="J216" s="6"/>
      <c r="K216" s="6"/>
      <c r="L216" s="5"/>
      <c r="M216" s="5"/>
      <c r="N216" s="5"/>
      <c r="O216" s="3"/>
      <c r="P216" s="3"/>
    </row>
    <row r="217" spans="2:16" hidden="1" outlineLevel="1">
      <c r="B217" s="5" t="s">
        <v>183</v>
      </c>
      <c r="C217" s="5" t="str">
        <f>"Beat Black Trio Round EU"</f>
        <v>Beat Black Trio Round EU</v>
      </c>
      <c r="D217" s="42">
        <f>1080</f>
        <v>1080</v>
      </c>
      <c r="E217" s="5" t="s">
        <v>181</v>
      </c>
      <c r="F217" s="5" t="str">
        <f>IF($E217="","","Pendant System")</f>
        <v>Pendant System</v>
      </c>
      <c r="G217" s="42">
        <f>IF($E217="","",0)</f>
        <v>0</v>
      </c>
      <c r="H217" s="7">
        <f>1</f>
        <v>1</v>
      </c>
      <c r="I217" s="5"/>
      <c r="J217" s="6"/>
      <c r="K217" s="6"/>
      <c r="L217" s="5"/>
      <c r="M217" s="5"/>
      <c r="N217" s="5"/>
      <c r="O217" s="3"/>
      <c r="P217" s="3"/>
    </row>
    <row r="218" spans="2:16" collapsed="1">
      <c r="B218" s="5" t="s">
        <v>183</v>
      </c>
      <c r="C218" s="5" t="str">
        <f>"Beat Black Trio Round EU"</f>
        <v>Beat Black Trio Round EU</v>
      </c>
      <c r="D218" s="42">
        <f>1080</f>
        <v>1080</v>
      </c>
      <c r="E218" s="5"/>
      <c r="F218" s="5"/>
      <c r="G218" s="42"/>
      <c r="H218" s="7"/>
      <c r="I218" s="5"/>
      <c r="J218" s="14"/>
      <c r="K218" s="14"/>
      <c r="L218" s="5"/>
      <c r="M218" s="5"/>
      <c r="N218" s="5"/>
      <c r="O218" s="3"/>
      <c r="P218" s="3"/>
    </row>
    <row r="219" spans="2:16" hidden="1" outlineLevel="1">
      <c r="B219" s="5" t="s">
        <v>184</v>
      </c>
      <c r="C219" s="5" t="str">
        <f>"Beat Brushed Range Linear EU"</f>
        <v>Beat Brushed Range Linear EU</v>
      </c>
      <c r="D219" s="42">
        <f>2160</f>
        <v>2160</v>
      </c>
      <c r="E219" s="5" t="s">
        <v>48</v>
      </c>
      <c r="F219" s="5" t="str">
        <f>IF($E219="","","Beat Wide Brushed Pendant EU")</f>
        <v>Beat Wide Brushed Pendant EU</v>
      </c>
      <c r="G219" s="42">
        <f>IF($E219="","",360)</f>
        <v>360</v>
      </c>
      <c r="H219" s="7">
        <f>2</f>
        <v>2</v>
      </c>
      <c r="I219" s="5"/>
      <c r="J219" s="6"/>
      <c r="K219" s="6"/>
      <c r="L219" s="5"/>
      <c r="M219" s="5"/>
      <c r="N219" s="5"/>
      <c r="O219" s="3"/>
      <c r="P219" s="3"/>
    </row>
    <row r="220" spans="2:16" hidden="1" outlineLevel="1">
      <c r="B220" s="5" t="s">
        <v>184</v>
      </c>
      <c r="C220" s="5" t="str">
        <f>"Beat Brushed Range Linear EU"</f>
        <v>Beat Brushed Range Linear EU</v>
      </c>
      <c r="D220" s="42">
        <f>2160</f>
        <v>2160</v>
      </c>
      <c r="E220" s="5" t="s">
        <v>25</v>
      </c>
      <c r="F220" s="5" t="str">
        <f>IF($E220="","","Beat Fat Brushed Pendant EU")</f>
        <v>Beat Fat Brushed Pendant EU</v>
      </c>
      <c r="G220" s="42">
        <f>IF($E220="","",360)</f>
        <v>360</v>
      </c>
      <c r="H220" s="7">
        <f>2</f>
        <v>2</v>
      </c>
      <c r="I220" s="5"/>
      <c r="J220" s="6"/>
      <c r="K220" s="6"/>
      <c r="L220" s="5"/>
      <c r="M220" s="5"/>
      <c r="N220" s="5"/>
      <c r="O220" s="3"/>
      <c r="P220" s="3"/>
    </row>
    <row r="221" spans="2:16" hidden="1" outlineLevel="1">
      <c r="B221" s="5" t="s">
        <v>184</v>
      </c>
      <c r="C221" s="5" t="str">
        <f>"Beat Brushed Range Linear EU"</f>
        <v>Beat Brushed Range Linear EU</v>
      </c>
      <c r="D221" s="42">
        <f>2160</f>
        <v>2160</v>
      </c>
      <c r="E221" s="5" t="s">
        <v>35</v>
      </c>
      <c r="F221" s="5" t="str">
        <f>IF($E221="","","Beat Tall Brushed Pendant EU")</f>
        <v>Beat Tall Brushed Pendant EU</v>
      </c>
      <c r="G221" s="42">
        <f>IF($E221="","",360)</f>
        <v>360</v>
      </c>
      <c r="H221" s="7">
        <f>2</f>
        <v>2</v>
      </c>
      <c r="I221" s="5"/>
      <c r="J221" s="6"/>
      <c r="K221" s="6"/>
      <c r="L221" s="5"/>
      <c r="M221" s="5"/>
      <c r="N221" s="5"/>
      <c r="O221" s="3"/>
      <c r="P221" s="3"/>
    </row>
    <row r="222" spans="2:16" hidden="1" outlineLevel="1">
      <c r="B222" s="5" t="s">
        <v>184</v>
      </c>
      <c r="C222" s="5" t="str">
        <f>"Beat Brushed Range Linear EU"</f>
        <v>Beat Brushed Range Linear EU</v>
      </c>
      <c r="D222" s="42">
        <f>2160</f>
        <v>2160</v>
      </c>
      <c r="E222" s="5" t="s">
        <v>179</v>
      </c>
      <c r="F222" s="5" t="str">
        <f>IF($E222="","","Linear Pendant System")</f>
        <v>Linear Pendant System</v>
      </c>
      <c r="G222" s="42">
        <f>IF($E222="","",0)</f>
        <v>0</v>
      </c>
      <c r="H222" s="7">
        <f>1</f>
        <v>1</v>
      </c>
      <c r="I222" s="5"/>
      <c r="J222" s="6"/>
      <c r="K222" s="6"/>
      <c r="L222" s="5"/>
      <c r="M222" s="5"/>
      <c r="N222" s="5"/>
      <c r="O222" s="3"/>
      <c r="P222" s="3"/>
    </row>
    <row r="223" spans="2:16" collapsed="1">
      <c r="B223" s="5" t="s">
        <v>184</v>
      </c>
      <c r="C223" s="5" t="str">
        <f>"Beat Brushed Range Linear EU"</f>
        <v>Beat Brushed Range Linear EU</v>
      </c>
      <c r="D223" s="42">
        <f>2160</f>
        <v>2160</v>
      </c>
      <c r="E223" s="5"/>
      <c r="F223" s="5"/>
      <c r="G223" s="42"/>
      <c r="H223" s="7"/>
      <c r="I223" s="5"/>
      <c r="J223" s="14"/>
      <c r="K223" s="14"/>
      <c r="L223" s="5"/>
      <c r="M223" s="5"/>
      <c r="N223" s="5"/>
      <c r="O223" s="3"/>
      <c r="P223" s="3"/>
    </row>
    <row r="224" spans="2:16" hidden="1" outlineLevel="1">
      <c r="B224" s="5" t="s">
        <v>185</v>
      </c>
      <c r="C224" s="5" t="str">
        <f t="shared" ref="C224:C229" si="1">"Beat Brushed Range Round EU"</f>
        <v>Beat Brushed Range Round EU</v>
      </c>
      <c r="D224" s="42">
        <f>1980</f>
        <v>1980</v>
      </c>
      <c r="E224" s="5" t="s">
        <v>48</v>
      </c>
      <c r="F224" s="5" t="str">
        <f>IF($E224="","","Beat Wide Brushed Pendant EU")</f>
        <v>Beat Wide Brushed Pendant EU</v>
      </c>
      <c r="G224" s="42">
        <f>IF($E224="","",360)</f>
        <v>360</v>
      </c>
      <c r="H224" s="7">
        <f>1</f>
        <v>1</v>
      </c>
      <c r="I224" s="5"/>
      <c r="J224" s="6"/>
      <c r="K224" s="6"/>
      <c r="L224" s="5"/>
      <c r="M224" s="5"/>
      <c r="N224" s="5"/>
      <c r="O224" s="3"/>
      <c r="P224" s="3"/>
    </row>
    <row r="225" spans="2:16" hidden="1" outlineLevel="1">
      <c r="B225" s="5" t="s">
        <v>185</v>
      </c>
      <c r="C225" s="5" t="str">
        <f t="shared" si="1"/>
        <v>Beat Brushed Range Round EU</v>
      </c>
      <c r="D225" s="42">
        <f>1980</f>
        <v>1980</v>
      </c>
      <c r="E225" s="5" t="s">
        <v>25</v>
      </c>
      <c r="F225" s="5" t="str">
        <f>IF($E225="","","Beat Fat Brushed Pendant EU")</f>
        <v>Beat Fat Brushed Pendant EU</v>
      </c>
      <c r="G225" s="42">
        <f>IF($E225="","",360)</f>
        <v>360</v>
      </c>
      <c r="H225" s="7">
        <f>1</f>
        <v>1</v>
      </c>
      <c r="I225" s="5"/>
      <c r="J225" s="6"/>
      <c r="K225" s="6"/>
      <c r="L225" s="5"/>
      <c r="M225" s="5"/>
      <c r="N225" s="5"/>
      <c r="O225" s="3"/>
      <c r="P225" s="3"/>
    </row>
    <row r="226" spans="2:16" hidden="1" outlineLevel="1">
      <c r="B226" s="5" t="s">
        <v>185</v>
      </c>
      <c r="C226" s="5" t="str">
        <f t="shared" si="1"/>
        <v>Beat Brushed Range Round EU</v>
      </c>
      <c r="D226" s="42">
        <f>1980</f>
        <v>1980</v>
      </c>
      <c r="E226" s="5" t="s">
        <v>35</v>
      </c>
      <c r="F226" s="5" t="str">
        <f>IF($E226="","","Beat Tall Brushed Pendant EU")</f>
        <v>Beat Tall Brushed Pendant EU</v>
      </c>
      <c r="G226" s="42">
        <f>IF($E226="","",360)</f>
        <v>360</v>
      </c>
      <c r="H226" s="7">
        <f>1</f>
        <v>1</v>
      </c>
      <c r="I226" s="5"/>
      <c r="J226" s="6"/>
      <c r="K226" s="6"/>
      <c r="L226" s="5"/>
      <c r="M226" s="5"/>
      <c r="N226" s="5"/>
      <c r="O226" s="3"/>
      <c r="P226" s="3"/>
    </row>
    <row r="227" spans="2:16" hidden="1" outlineLevel="1">
      <c r="B227" s="5" t="s">
        <v>185</v>
      </c>
      <c r="C227" s="5" t="str">
        <f t="shared" si="1"/>
        <v>Beat Brushed Range Round EU</v>
      </c>
      <c r="D227" s="42">
        <f>1980</f>
        <v>1980</v>
      </c>
      <c r="E227" s="5" t="s">
        <v>57</v>
      </c>
      <c r="F227" s="5" t="str">
        <f>IF($E227="","","Beat Stout Brushed Pendant EU")</f>
        <v>Beat Stout Brushed Pendant EU</v>
      </c>
      <c r="G227" s="42">
        <f>IF($E227="","",900)</f>
        <v>900</v>
      </c>
      <c r="H227" s="7">
        <f>1</f>
        <v>1</v>
      </c>
      <c r="I227" s="5"/>
      <c r="J227" s="6"/>
      <c r="K227" s="6"/>
      <c r="L227" s="5"/>
      <c r="M227" s="5"/>
      <c r="N227" s="5"/>
      <c r="O227" s="3"/>
      <c r="P227" s="3"/>
    </row>
    <row r="228" spans="2:16" hidden="1" outlineLevel="1">
      <c r="B228" s="5" t="s">
        <v>185</v>
      </c>
      <c r="C228" s="5" t="str">
        <f t="shared" si="1"/>
        <v>Beat Brushed Range Round EU</v>
      </c>
      <c r="D228" s="42">
        <f>1980</f>
        <v>1980</v>
      </c>
      <c r="E228" s="5" t="s">
        <v>181</v>
      </c>
      <c r="F228" s="5" t="str">
        <f>IF($E228="","","Pendant System")</f>
        <v>Pendant System</v>
      </c>
      <c r="G228" s="42">
        <f>IF($E228="","",0)</f>
        <v>0</v>
      </c>
      <c r="H228" s="7">
        <f>1</f>
        <v>1</v>
      </c>
      <c r="I228" s="5"/>
      <c r="J228" s="6"/>
      <c r="K228" s="6"/>
      <c r="L228" s="5"/>
      <c r="M228" s="5"/>
      <c r="N228" s="5"/>
      <c r="O228" s="3"/>
      <c r="P228" s="3"/>
    </row>
    <row r="229" spans="2:16" collapsed="1">
      <c r="B229" s="5" t="s">
        <v>185</v>
      </c>
      <c r="C229" s="5" t="str">
        <f t="shared" si="1"/>
        <v>Beat Brushed Range Round EU</v>
      </c>
      <c r="D229" s="42">
        <f>1980</f>
        <v>1980</v>
      </c>
      <c r="E229" s="5"/>
      <c r="F229" s="5"/>
      <c r="G229" s="42"/>
      <c r="H229" s="7"/>
      <c r="I229" s="5"/>
      <c r="J229" s="14"/>
      <c r="K229" s="14"/>
      <c r="L229" s="5"/>
      <c r="M229" s="5"/>
      <c r="N229" s="5"/>
      <c r="O229" s="3"/>
      <c r="P229" s="3"/>
    </row>
    <row r="230" spans="2:16" hidden="1" outlineLevel="1">
      <c r="B230" s="5" t="s">
        <v>186</v>
      </c>
      <c r="C230" s="5" t="str">
        <f>"Beat Brushed Trio Round EU"</f>
        <v>Beat Brushed Trio Round EU</v>
      </c>
      <c r="D230" s="42">
        <f>1080</f>
        <v>1080</v>
      </c>
      <c r="E230" s="5" t="s">
        <v>48</v>
      </c>
      <c r="F230" s="5" t="str">
        <f>IF($E230="","","Beat Wide Brushed Pendant EU")</f>
        <v>Beat Wide Brushed Pendant EU</v>
      </c>
      <c r="G230" s="42">
        <f>IF($E230="","",360)</f>
        <v>360</v>
      </c>
      <c r="H230" s="7">
        <f>1</f>
        <v>1</v>
      </c>
      <c r="I230" s="5"/>
      <c r="J230" s="6"/>
      <c r="K230" s="6"/>
      <c r="L230" s="5"/>
      <c r="M230" s="5"/>
      <c r="N230" s="5"/>
      <c r="O230" s="3"/>
      <c r="P230" s="3"/>
    </row>
    <row r="231" spans="2:16" hidden="1" outlineLevel="1">
      <c r="B231" s="5" t="s">
        <v>186</v>
      </c>
      <c r="C231" s="5" t="str">
        <f>"Beat Brushed Trio Round EU"</f>
        <v>Beat Brushed Trio Round EU</v>
      </c>
      <c r="D231" s="42">
        <f>1080</f>
        <v>1080</v>
      </c>
      <c r="E231" s="5" t="s">
        <v>25</v>
      </c>
      <c r="F231" s="5" t="str">
        <f>IF($E231="","","Beat Fat Brushed Pendant EU")</f>
        <v>Beat Fat Brushed Pendant EU</v>
      </c>
      <c r="G231" s="42">
        <f>IF($E231="","",360)</f>
        <v>360</v>
      </c>
      <c r="H231" s="7">
        <f>1</f>
        <v>1</v>
      </c>
      <c r="I231" s="5"/>
      <c r="J231" s="6"/>
      <c r="K231" s="6"/>
      <c r="L231" s="5"/>
      <c r="M231" s="5"/>
      <c r="N231" s="5"/>
      <c r="O231" s="3"/>
      <c r="P231" s="3"/>
    </row>
    <row r="232" spans="2:16" hidden="1" outlineLevel="1">
      <c r="B232" s="5" t="s">
        <v>186</v>
      </c>
      <c r="C232" s="5" t="str">
        <f>"Beat Brushed Trio Round EU"</f>
        <v>Beat Brushed Trio Round EU</v>
      </c>
      <c r="D232" s="42">
        <f>1080</f>
        <v>1080</v>
      </c>
      <c r="E232" s="5" t="s">
        <v>35</v>
      </c>
      <c r="F232" s="5" t="str">
        <f>IF($E232="","","Beat Tall Brushed Pendant EU")</f>
        <v>Beat Tall Brushed Pendant EU</v>
      </c>
      <c r="G232" s="42">
        <f>IF($E232="","",360)</f>
        <v>360</v>
      </c>
      <c r="H232" s="7">
        <f>1</f>
        <v>1</v>
      </c>
      <c r="I232" s="5"/>
      <c r="J232" s="6"/>
      <c r="K232" s="6"/>
      <c r="L232" s="5"/>
      <c r="M232" s="5"/>
      <c r="N232" s="5"/>
      <c r="O232" s="3"/>
      <c r="P232" s="3"/>
    </row>
    <row r="233" spans="2:16" hidden="1" outlineLevel="1">
      <c r="B233" s="5" t="s">
        <v>186</v>
      </c>
      <c r="C233" s="5" t="str">
        <f>"Beat Brushed Trio Round EU"</f>
        <v>Beat Brushed Trio Round EU</v>
      </c>
      <c r="D233" s="42">
        <f>1080</f>
        <v>1080</v>
      </c>
      <c r="E233" s="5" t="s">
        <v>181</v>
      </c>
      <c r="F233" s="5" t="str">
        <f>IF($E233="","","Pendant System")</f>
        <v>Pendant System</v>
      </c>
      <c r="G233" s="42">
        <f>IF($E233="","",0)</f>
        <v>0</v>
      </c>
      <c r="H233" s="7">
        <f>1</f>
        <v>1</v>
      </c>
      <c r="I233" s="5"/>
      <c r="J233" s="6"/>
      <c r="K233" s="6"/>
      <c r="L233" s="5"/>
      <c r="M233" s="5"/>
      <c r="N233" s="5"/>
      <c r="O233" s="3"/>
      <c r="P233" s="3"/>
    </row>
    <row r="234" spans="2:16" collapsed="1">
      <c r="B234" s="5" t="s">
        <v>186</v>
      </c>
      <c r="C234" s="5" t="str">
        <f>"Beat Brushed Trio Round EU"</f>
        <v>Beat Brushed Trio Round EU</v>
      </c>
      <c r="D234" s="42">
        <f>1080</f>
        <v>1080</v>
      </c>
      <c r="E234" s="5"/>
      <c r="F234" s="5"/>
      <c r="G234" s="42"/>
      <c r="H234" s="7"/>
      <c r="I234" s="5"/>
      <c r="J234" s="14"/>
      <c r="K234" s="14"/>
      <c r="L234" s="5"/>
      <c r="M234" s="5"/>
      <c r="N234" s="5"/>
      <c r="O234" s="3"/>
      <c r="P234" s="3"/>
    </row>
    <row r="235" spans="2:16" hidden="1" outlineLevel="1">
      <c r="B235" s="5" t="s">
        <v>187</v>
      </c>
      <c r="C235" s="5" t="str">
        <f>"Beat Grey Range Linear EU"</f>
        <v>Beat Grey Range Linear EU</v>
      </c>
      <c r="D235" s="42">
        <f>2160</f>
        <v>2160</v>
      </c>
      <c r="E235" s="5" t="s">
        <v>50</v>
      </c>
      <c r="F235" s="5" t="str">
        <f>IF($E235="","","Beat Light Wide - Grey/Silver")</f>
        <v>Beat Light Wide - Grey/Silver</v>
      </c>
      <c r="G235" s="42">
        <f>IF($E235="","",360)</f>
        <v>360</v>
      </c>
      <c r="H235" s="7">
        <f>2</f>
        <v>2</v>
      </c>
      <c r="I235" s="5"/>
      <c r="J235" s="6"/>
      <c r="K235" s="6"/>
      <c r="L235" s="5"/>
      <c r="M235" s="5"/>
      <c r="N235" s="5"/>
      <c r="O235" s="3"/>
      <c r="P235" s="3"/>
    </row>
    <row r="236" spans="2:16" hidden="1" outlineLevel="1">
      <c r="B236" s="5" t="s">
        <v>187</v>
      </c>
      <c r="C236" s="5" t="str">
        <f>"Beat Grey Range Linear EU"</f>
        <v>Beat Grey Range Linear EU</v>
      </c>
      <c r="D236" s="42">
        <f>2160</f>
        <v>2160</v>
      </c>
      <c r="E236" s="5" t="s">
        <v>30</v>
      </c>
      <c r="F236" s="5" t="str">
        <f>IF($E236="","","Beat Light Fat - Grey/Silver")</f>
        <v>Beat Light Fat - Grey/Silver</v>
      </c>
      <c r="G236" s="42">
        <f>IF($E236="","",360)</f>
        <v>360</v>
      </c>
      <c r="H236" s="7">
        <f>2</f>
        <v>2</v>
      </c>
      <c r="I236" s="5"/>
      <c r="J236" s="6"/>
      <c r="K236" s="6"/>
      <c r="L236" s="5"/>
      <c r="M236" s="5"/>
      <c r="N236" s="5"/>
      <c r="O236" s="3"/>
      <c r="P236" s="3"/>
    </row>
    <row r="237" spans="2:16" hidden="1" outlineLevel="1">
      <c r="B237" s="5" t="s">
        <v>187</v>
      </c>
      <c r="C237" s="5" t="str">
        <f>"Beat Grey Range Linear EU"</f>
        <v>Beat Grey Range Linear EU</v>
      </c>
      <c r="D237" s="42">
        <f>2160</f>
        <v>2160</v>
      </c>
      <c r="E237" s="5" t="s">
        <v>39</v>
      </c>
      <c r="F237" s="5" t="str">
        <f>IF($E237="","","Beat Light Tall - Grey/ Silver")</f>
        <v>Beat Light Tall - Grey/ Silver</v>
      </c>
      <c r="G237" s="42">
        <f>IF($E237="","",360)</f>
        <v>360</v>
      </c>
      <c r="H237" s="7">
        <f>2</f>
        <v>2</v>
      </c>
      <c r="I237" s="5"/>
      <c r="J237" s="6"/>
      <c r="K237" s="6"/>
      <c r="L237" s="5"/>
      <c r="M237" s="5"/>
      <c r="N237" s="5"/>
      <c r="O237" s="3"/>
      <c r="P237" s="3"/>
    </row>
    <row r="238" spans="2:16" hidden="1" outlineLevel="1">
      <c r="B238" s="5" t="s">
        <v>187</v>
      </c>
      <c r="C238" s="5" t="str">
        <f>"Beat Grey Range Linear EU"</f>
        <v>Beat Grey Range Linear EU</v>
      </c>
      <c r="D238" s="42">
        <f>2160</f>
        <v>2160</v>
      </c>
      <c r="E238" s="5" t="s">
        <v>179</v>
      </c>
      <c r="F238" s="5" t="str">
        <f>IF($E238="","","Linear Pendant System")</f>
        <v>Linear Pendant System</v>
      </c>
      <c r="G238" s="42">
        <f>IF($E238="","",0)</f>
        <v>0</v>
      </c>
      <c r="H238" s="7">
        <f>1</f>
        <v>1</v>
      </c>
      <c r="I238" s="5"/>
      <c r="J238" s="6"/>
      <c r="K238" s="6"/>
      <c r="L238" s="5"/>
      <c r="M238" s="5"/>
      <c r="N238" s="5"/>
      <c r="O238" s="3"/>
      <c r="P238" s="3"/>
    </row>
    <row r="239" spans="2:16" collapsed="1">
      <c r="B239" s="5" t="s">
        <v>187</v>
      </c>
      <c r="C239" s="5" t="str">
        <f>"Beat Grey Range Linear EU"</f>
        <v>Beat Grey Range Linear EU</v>
      </c>
      <c r="D239" s="42">
        <f>2160</f>
        <v>2160</v>
      </c>
      <c r="E239" s="5"/>
      <c r="F239" s="5"/>
      <c r="G239" s="42"/>
      <c r="H239" s="7"/>
      <c r="I239" s="5"/>
      <c r="J239" s="14"/>
      <c r="K239" s="14"/>
      <c r="L239" s="5"/>
      <c r="M239" s="5"/>
      <c r="N239" s="5"/>
      <c r="O239" s="3"/>
      <c r="P239" s="3"/>
    </row>
    <row r="240" spans="2:16" hidden="1" outlineLevel="1">
      <c r="B240" s="5" t="s">
        <v>188</v>
      </c>
      <c r="C240" s="5" t="str">
        <f t="shared" ref="C240:C245" si="2">"Beat Grey Range Round EU"</f>
        <v>Beat Grey Range Round EU</v>
      </c>
      <c r="D240" s="42">
        <f>1980</f>
        <v>1980</v>
      </c>
      <c r="E240" s="5" t="s">
        <v>50</v>
      </c>
      <c r="F240" s="5" t="str">
        <f>IF($E240="","","Beat Light Wide - Grey/Silver")</f>
        <v>Beat Light Wide - Grey/Silver</v>
      </c>
      <c r="G240" s="42">
        <f>IF($E240="","",360)</f>
        <v>360</v>
      </c>
      <c r="H240" s="7">
        <f>1</f>
        <v>1</v>
      </c>
      <c r="I240" s="5"/>
      <c r="J240" s="6"/>
      <c r="K240" s="6"/>
      <c r="L240" s="5"/>
      <c r="M240" s="5"/>
      <c r="N240" s="5"/>
      <c r="O240" s="3"/>
      <c r="P240" s="3"/>
    </row>
    <row r="241" spans="2:16" hidden="1" outlineLevel="1">
      <c r="B241" s="5" t="s">
        <v>188</v>
      </c>
      <c r="C241" s="5" t="str">
        <f t="shared" si="2"/>
        <v>Beat Grey Range Round EU</v>
      </c>
      <c r="D241" s="42">
        <f>1980</f>
        <v>1980</v>
      </c>
      <c r="E241" s="5" t="s">
        <v>30</v>
      </c>
      <c r="F241" s="5" t="str">
        <f>IF($E241="","","Beat Light Fat - Grey/Silver")</f>
        <v>Beat Light Fat - Grey/Silver</v>
      </c>
      <c r="G241" s="42">
        <f>IF($E241="","",360)</f>
        <v>360</v>
      </c>
      <c r="H241" s="7">
        <f>1</f>
        <v>1</v>
      </c>
      <c r="I241" s="5"/>
      <c r="J241" s="6"/>
      <c r="K241" s="6"/>
      <c r="L241" s="5"/>
      <c r="M241" s="5"/>
      <c r="N241" s="5"/>
      <c r="O241" s="3"/>
      <c r="P241" s="3"/>
    </row>
    <row r="242" spans="2:16" hidden="1" outlineLevel="1">
      <c r="B242" s="5" t="s">
        <v>188</v>
      </c>
      <c r="C242" s="5" t="str">
        <f t="shared" si="2"/>
        <v>Beat Grey Range Round EU</v>
      </c>
      <c r="D242" s="42">
        <f>1980</f>
        <v>1980</v>
      </c>
      <c r="E242" s="5" t="s">
        <v>39</v>
      </c>
      <c r="F242" s="5" t="str">
        <f>IF($E242="","","Beat Light Tall - Grey/ Silver")</f>
        <v>Beat Light Tall - Grey/ Silver</v>
      </c>
      <c r="G242" s="42">
        <f>IF($E242="","",360)</f>
        <v>360</v>
      </c>
      <c r="H242" s="7">
        <f>1</f>
        <v>1</v>
      </c>
      <c r="I242" s="5"/>
      <c r="J242" s="6"/>
      <c r="K242" s="6"/>
      <c r="L242" s="5"/>
      <c r="M242" s="5"/>
      <c r="N242" s="5"/>
      <c r="O242" s="3"/>
      <c r="P242" s="3"/>
    </row>
    <row r="243" spans="2:16" hidden="1" outlineLevel="1">
      <c r="B243" s="5" t="s">
        <v>188</v>
      </c>
      <c r="C243" s="5" t="str">
        <f t="shared" si="2"/>
        <v>Beat Grey Range Round EU</v>
      </c>
      <c r="D243" s="42">
        <f>1980</f>
        <v>1980</v>
      </c>
      <c r="E243" s="5" t="s">
        <v>59</v>
      </c>
      <c r="F243" s="5" t="str">
        <f>IF($E243="","","Beat Light Stout - Grey/Silver")</f>
        <v>Beat Light Stout - Grey/Silver</v>
      </c>
      <c r="G243" s="42">
        <f>IF($E243="","",900)</f>
        <v>900</v>
      </c>
      <c r="H243" s="7">
        <f>1</f>
        <v>1</v>
      </c>
      <c r="I243" s="5"/>
      <c r="J243" s="6"/>
      <c r="K243" s="6"/>
      <c r="L243" s="5"/>
      <c r="M243" s="5"/>
      <c r="N243" s="5"/>
      <c r="O243" s="3"/>
      <c r="P243" s="3"/>
    </row>
    <row r="244" spans="2:16" hidden="1" outlineLevel="1">
      <c r="B244" s="5" t="s">
        <v>188</v>
      </c>
      <c r="C244" s="5" t="str">
        <f t="shared" si="2"/>
        <v>Beat Grey Range Round EU</v>
      </c>
      <c r="D244" s="42">
        <f>1980</f>
        <v>1980</v>
      </c>
      <c r="E244" s="5" t="s">
        <v>181</v>
      </c>
      <c r="F244" s="5" t="str">
        <f>IF($E244="","","Pendant System")</f>
        <v>Pendant System</v>
      </c>
      <c r="G244" s="42">
        <f>IF($E244="","",0)</f>
        <v>0</v>
      </c>
      <c r="H244" s="7">
        <f>1</f>
        <v>1</v>
      </c>
      <c r="I244" s="5"/>
      <c r="J244" s="6"/>
      <c r="K244" s="6"/>
      <c r="L244" s="5"/>
      <c r="M244" s="5"/>
      <c r="N244" s="5"/>
      <c r="O244" s="3"/>
      <c r="P244" s="3"/>
    </row>
    <row r="245" spans="2:16" collapsed="1">
      <c r="B245" s="5" t="s">
        <v>188</v>
      </c>
      <c r="C245" s="5" t="str">
        <f t="shared" si="2"/>
        <v>Beat Grey Range Round EU</v>
      </c>
      <c r="D245" s="42">
        <f>1980</f>
        <v>1980</v>
      </c>
      <c r="E245" s="5"/>
      <c r="F245" s="5"/>
      <c r="G245" s="42"/>
      <c r="H245" s="7"/>
      <c r="I245" s="5"/>
      <c r="J245" s="14"/>
      <c r="K245" s="14"/>
      <c r="L245" s="5"/>
      <c r="M245" s="5"/>
      <c r="N245" s="5"/>
      <c r="O245" s="3"/>
      <c r="P245" s="3"/>
    </row>
    <row r="246" spans="2:16" hidden="1" outlineLevel="1">
      <c r="B246" s="5" t="s">
        <v>189</v>
      </c>
      <c r="C246" s="5" t="str">
        <f>"Beat Grey Trio Round EU"</f>
        <v>Beat Grey Trio Round EU</v>
      </c>
      <c r="D246" s="42">
        <f>1080</f>
        <v>1080</v>
      </c>
      <c r="E246" s="5" t="s">
        <v>50</v>
      </c>
      <c r="F246" s="5" t="str">
        <f>IF($E246="","","Beat Light Wide - Grey/Silver")</f>
        <v>Beat Light Wide - Grey/Silver</v>
      </c>
      <c r="G246" s="42">
        <f>IF($E246="","",360)</f>
        <v>360</v>
      </c>
      <c r="H246" s="7">
        <f>1</f>
        <v>1</v>
      </c>
      <c r="I246" s="5"/>
      <c r="J246" s="6"/>
      <c r="K246" s="6"/>
      <c r="L246" s="5"/>
      <c r="M246" s="5"/>
      <c r="N246" s="5"/>
      <c r="O246" s="3"/>
      <c r="P246" s="3"/>
    </row>
    <row r="247" spans="2:16" hidden="1" outlineLevel="1">
      <c r="B247" s="5" t="s">
        <v>189</v>
      </c>
      <c r="C247" s="5" t="str">
        <f>"Beat Grey Trio Round EU"</f>
        <v>Beat Grey Trio Round EU</v>
      </c>
      <c r="D247" s="42">
        <f>1080</f>
        <v>1080</v>
      </c>
      <c r="E247" s="5" t="s">
        <v>30</v>
      </c>
      <c r="F247" s="5" t="str">
        <f>IF($E247="","","Beat Light Fat - Grey/Silver")</f>
        <v>Beat Light Fat - Grey/Silver</v>
      </c>
      <c r="G247" s="42">
        <f>IF($E247="","",360)</f>
        <v>360</v>
      </c>
      <c r="H247" s="7">
        <f>1</f>
        <v>1</v>
      </c>
      <c r="I247" s="5"/>
      <c r="J247" s="6"/>
      <c r="K247" s="6"/>
      <c r="L247" s="5"/>
      <c r="M247" s="5"/>
      <c r="N247" s="5"/>
      <c r="O247" s="3"/>
      <c r="P247" s="3"/>
    </row>
    <row r="248" spans="2:16" hidden="1" outlineLevel="1">
      <c r="B248" s="5" t="s">
        <v>189</v>
      </c>
      <c r="C248" s="5" t="str">
        <f>"Beat Grey Trio Round EU"</f>
        <v>Beat Grey Trio Round EU</v>
      </c>
      <c r="D248" s="42">
        <f>1080</f>
        <v>1080</v>
      </c>
      <c r="E248" s="5" t="s">
        <v>39</v>
      </c>
      <c r="F248" s="5" t="str">
        <f>IF($E248="","","Beat Light Tall - Grey/ Silver")</f>
        <v>Beat Light Tall - Grey/ Silver</v>
      </c>
      <c r="G248" s="42">
        <f>IF($E248="","",360)</f>
        <v>360</v>
      </c>
      <c r="H248" s="7">
        <f>1</f>
        <v>1</v>
      </c>
      <c r="I248" s="5"/>
      <c r="J248" s="6"/>
      <c r="K248" s="6"/>
      <c r="L248" s="5"/>
      <c r="M248" s="5"/>
      <c r="N248" s="5"/>
      <c r="O248" s="3"/>
      <c r="P248" s="3"/>
    </row>
    <row r="249" spans="2:16" hidden="1" outlineLevel="1">
      <c r="B249" s="5" t="s">
        <v>189</v>
      </c>
      <c r="C249" s="5" t="str">
        <f>"Beat Grey Trio Round EU"</f>
        <v>Beat Grey Trio Round EU</v>
      </c>
      <c r="D249" s="42">
        <f>1080</f>
        <v>1080</v>
      </c>
      <c r="E249" s="5" t="s">
        <v>181</v>
      </c>
      <c r="F249" s="5" t="str">
        <f>IF($E249="","","Pendant System")</f>
        <v>Pendant System</v>
      </c>
      <c r="G249" s="42">
        <f>IF($E249="","",0)</f>
        <v>0</v>
      </c>
      <c r="H249" s="7">
        <f>1</f>
        <v>1</v>
      </c>
      <c r="I249" s="5"/>
      <c r="J249" s="6"/>
      <c r="K249" s="6"/>
      <c r="L249" s="5"/>
      <c r="M249" s="5"/>
      <c r="N249" s="5"/>
      <c r="O249" s="3"/>
      <c r="P249" s="3"/>
    </row>
    <row r="250" spans="2:16" collapsed="1">
      <c r="B250" s="5" t="s">
        <v>189</v>
      </c>
      <c r="C250" s="5" t="str">
        <f>"Beat Grey Trio Round EU"</f>
        <v>Beat Grey Trio Round EU</v>
      </c>
      <c r="D250" s="42">
        <f>1080</f>
        <v>1080</v>
      </c>
      <c r="E250" s="5"/>
      <c r="F250" s="5"/>
      <c r="G250" s="42"/>
      <c r="H250" s="7"/>
      <c r="I250" s="5"/>
      <c r="J250" s="14"/>
      <c r="K250" s="14"/>
      <c r="L250" s="5"/>
      <c r="M250" s="5"/>
      <c r="N250" s="5"/>
      <c r="O250" s="3"/>
      <c r="P250" s="3"/>
    </row>
    <row r="251" spans="2:16" hidden="1" outlineLevel="1">
      <c r="B251" s="5" t="s">
        <v>190</v>
      </c>
      <c r="C251" s="5" t="str">
        <f>"Beat White Range Linear EU"</f>
        <v>Beat White Range Linear EU</v>
      </c>
      <c r="D251" s="42">
        <f>2160</f>
        <v>2160</v>
      </c>
      <c r="E251" s="5" t="s">
        <v>52</v>
      </c>
      <c r="F251" s="5" t="str">
        <f>IF($E251="","","Beat Wide White Pendant EU")</f>
        <v>Beat Wide White Pendant EU</v>
      </c>
      <c r="G251" s="42">
        <f>IF($E251="","",360)</f>
        <v>360</v>
      </c>
      <c r="H251" s="7">
        <f>2</f>
        <v>2</v>
      </c>
      <c r="I251" s="5"/>
      <c r="J251" s="6"/>
      <c r="K251" s="6"/>
      <c r="L251" s="5"/>
      <c r="M251" s="5"/>
      <c r="N251" s="5"/>
      <c r="O251" s="3"/>
      <c r="P251" s="3"/>
    </row>
    <row r="252" spans="2:16" hidden="1" outlineLevel="1">
      <c r="B252" s="5" t="s">
        <v>190</v>
      </c>
      <c r="C252" s="5" t="str">
        <f>"Beat White Range Linear EU"</f>
        <v>Beat White Range Linear EU</v>
      </c>
      <c r="D252" s="42">
        <f>2160</f>
        <v>2160</v>
      </c>
      <c r="E252" s="5" t="s">
        <v>32</v>
      </c>
      <c r="F252" s="5" t="str">
        <f>IF($E252="","","Beat Fat White Pendant EU")</f>
        <v>Beat Fat White Pendant EU</v>
      </c>
      <c r="G252" s="42">
        <f>IF($E252="","",360)</f>
        <v>360</v>
      </c>
      <c r="H252" s="7">
        <f>2</f>
        <v>2</v>
      </c>
      <c r="I252" s="5"/>
      <c r="J252" s="6"/>
      <c r="K252" s="6"/>
      <c r="L252" s="5"/>
      <c r="M252" s="5"/>
      <c r="N252" s="5"/>
      <c r="O252" s="3"/>
      <c r="P252" s="3"/>
    </row>
    <row r="253" spans="2:16" hidden="1" outlineLevel="1">
      <c r="B253" s="5" t="s">
        <v>190</v>
      </c>
      <c r="C253" s="5" t="str">
        <f>"Beat White Range Linear EU"</f>
        <v>Beat White Range Linear EU</v>
      </c>
      <c r="D253" s="42">
        <f>2160</f>
        <v>2160</v>
      </c>
      <c r="E253" s="5" t="s">
        <v>44</v>
      </c>
      <c r="F253" s="5" t="str">
        <f>IF($E253="","","Beat Tall White   Pendant EU")</f>
        <v>Beat Tall White   Pendant EU</v>
      </c>
      <c r="G253" s="42">
        <f>IF($E253="","",360)</f>
        <v>360</v>
      </c>
      <c r="H253" s="7">
        <f>2</f>
        <v>2</v>
      </c>
      <c r="I253" s="5"/>
      <c r="J253" s="6"/>
      <c r="K253" s="6"/>
      <c r="L253" s="5"/>
      <c r="M253" s="5"/>
      <c r="N253" s="5"/>
      <c r="O253" s="3"/>
      <c r="P253" s="3"/>
    </row>
    <row r="254" spans="2:16" hidden="1" outlineLevel="1">
      <c r="B254" s="5" t="s">
        <v>190</v>
      </c>
      <c r="C254" s="5" t="str">
        <f>"Beat White Range Linear EU"</f>
        <v>Beat White Range Linear EU</v>
      </c>
      <c r="D254" s="42">
        <f>2160</f>
        <v>2160</v>
      </c>
      <c r="E254" s="5" t="s">
        <v>179</v>
      </c>
      <c r="F254" s="5" t="str">
        <f>IF($E254="","","Linear Pendant System")</f>
        <v>Linear Pendant System</v>
      </c>
      <c r="G254" s="42">
        <f>IF($E254="","",0)</f>
        <v>0</v>
      </c>
      <c r="H254" s="7">
        <f>1</f>
        <v>1</v>
      </c>
      <c r="I254" s="5"/>
      <c r="J254" s="6"/>
      <c r="K254" s="6"/>
      <c r="L254" s="5"/>
      <c r="M254" s="5"/>
      <c r="N254" s="5"/>
      <c r="O254" s="3"/>
      <c r="P254" s="3"/>
    </row>
    <row r="255" spans="2:16" collapsed="1">
      <c r="B255" s="5" t="s">
        <v>190</v>
      </c>
      <c r="C255" s="5" t="str">
        <f>"Beat White Range Linear EU"</f>
        <v>Beat White Range Linear EU</v>
      </c>
      <c r="D255" s="42">
        <f>2160</f>
        <v>2160</v>
      </c>
      <c r="E255" s="5"/>
      <c r="F255" s="5"/>
      <c r="G255" s="42"/>
      <c r="H255" s="7"/>
      <c r="I255" s="5"/>
      <c r="J255" s="14"/>
      <c r="K255" s="14"/>
      <c r="L255" s="5"/>
      <c r="M255" s="5"/>
      <c r="N255" s="5"/>
      <c r="O255" s="3"/>
      <c r="P255" s="3"/>
    </row>
    <row r="256" spans="2:16" hidden="1" outlineLevel="1">
      <c r="B256" s="5" t="s">
        <v>191</v>
      </c>
      <c r="C256" s="5" t="str">
        <f t="shared" ref="C256:C261" si="3">"Beat White Range Round EU"</f>
        <v>Beat White Range Round EU</v>
      </c>
      <c r="D256" s="42">
        <f>1980</f>
        <v>1980</v>
      </c>
      <c r="E256" s="5" t="s">
        <v>52</v>
      </c>
      <c r="F256" s="5" t="str">
        <f>IF($E256="","","Beat Wide White Pendant EU")</f>
        <v>Beat Wide White Pendant EU</v>
      </c>
      <c r="G256" s="42">
        <f>IF($E256="","",360)</f>
        <v>360</v>
      </c>
      <c r="H256" s="7">
        <f>1</f>
        <v>1</v>
      </c>
      <c r="I256" s="5"/>
      <c r="J256" s="6"/>
      <c r="K256" s="6"/>
      <c r="L256" s="5"/>
      <c r="M256" s="5"/>
      <c r="N256" s="5"/>
      <c r="O256" s="3"/>
      <c r="P256" s="3"/>
    </row>
    <row r="257" spans="2:16" hidden="1" outlineLevel="1">
      <c r="B257" s="5" t="s">
        <v>191</v>
      </c>
      <c r="C257" s="5" t="str">
        <f t="shared" si="3"/>
        <v>Beat White Range Round EU</v>
      </c>
      <c r="D257" s="42">
        <f>1980</f>
        <v>1980</v>
      </c>
      <c r="E257" s="5" t="s">
        <v>32</v>
      </c>
      <c r="F257" s="5" t="str">
        <f>IF($E257="","","Beat Fat White Pendant EU")</f>
        <v>Beat Fat White Pendant EU</v>
      </c>
      <c r="G257" s="42">
        <f>IF($E257="","",360)</f>
        <v>360</v>
      </c>
      <c r="H257" s="7">
        <f>1</f>
        <v>1</v>
      </c>
      <c r="I257" s="5"/>
      <c r="J257" s="6"/>
      <c r="K257" s="6"/>
      <c r="L257" s="5"/>
      <c r="M257" s="5"/>
      <c r="N257" s="5"/>
      <c r="O257" s="3"/>
      <c r="P257" s="3"/>
    </row>
    <row r="258" spans="2:16" hidden="1" outlineLevel="1">
      <c r="B258" s="5" t="s">
        <v>191</v>
      </c>
      <c r="C258" s="5" t="str">
        <f t="shared" si="3"/>
        <v>Beat White Range Round EU</v>
      </c>
      <c r="D258" s="42">
        <f>1980</f>
        <v>1980</v>
      </c>
      <c r="E258" s="5" t="s">
        <v>44</v>
      </c>
      <c r="F258" s="5" t="str">
        <f>IF($E258="","","Beat Tall White   Pendant EU")</f>
        <v>Beat Tall White   Pendant EU</v>
      </c>
      <c r="G258" s="42">
        <f>IF($E258="","",360)</f>
        <v>360</v>
      </c>
      <c r="H258" s="7">
        <f>1</f>
        <v>1</v>
      </c>
      <c r="I258" s="5"/>
      <c r="J258" s="6"/>
      <c r="K258" s="6"/>
      <c r="L258" s="5"/>
      <c r="M258" s="5"/>
      <c r="N258" s="5"/>
      <c r="O258" s="3"/>
      <c r="P258" s="3"/>
    </row>
    <row r="259" spans="2:16" hidden="1" outlineLevel="1">
      <c r="B259" s="5" t="s">
        <v>191</v>
      </c>
      <c r="C259" s="5" t="str">
        <f t="shared" si="3"/>
        <v>Beat White Range Round EU</v>
      </c>
      <c r="D259" s="42">
        <f>1980</f>
        <v>1980</v>
      </c>
      <c r="E259" s="5" t="s">
        <v>41</v>
      </c>
      <c r="F259" s="5" t="str">
        <f>IF($E259="","","Beat Stout White Pendant EU")</f>
        <v>Beat Stout White Pendant EU</v>
      </c>
      <c r="G259" s="42">
        <f>IF($E259="","",900)</f>
        <v>900</v>
      </c>
      <c r="H259" s="7">
        <f>1</f>
        <v>1</v>
      </c>
      <c r="I259" s="5"/>
      <c r="J259" s="6"/>
      <c r="K259" s="6"/>
      <c r="L259" s="5"/>
      <c r="M259" s="5"/>
      <c r="N259" s="5"/>
      <c r="O259" s="3"/>
      <c r="P259" s="3"/>
    </row>
    <row r="260" spans="2:16" hidden="1" outlineLevel="1">
      <c r="B260" s="5" t="s">
        <v>191</v>
      </c>
      <c r="C260" s="5" t="str">
        <f t="shared" si="3"/>
        <v>Beat White Range Round EU</v>
      </c>
      <c r="D260" s="42">
        <f>1980</f>
        <v>1980</v>
      </c>
      <c r="E260" s="5" t="s">
        <v>181</v>
      </c>
      <c r="F260" s="5" t="str">
        <f>IF($E260="","","Pendant System")</f>
        <v>Pendant System</v>
      </c>
      <c r="G260" s="42">
        <f>IF($E260="","",0)</f>
        <v>0</v>
      </c>
      <c r="H260" s="7">
        <f>1</f>
        <v>1</v>
      </c>
      <c r="I260" s="5"/>
      <c r="J260" s="6"/>
      <c r="K260" s="6"/>
      <c r="L260" s="5"/>
      <c r="M260" s="5"/>
      <c r="N260" s="5"/>
      <c r="O260" s="3"/>
      <c r="P260" s="3"/>
    </row>
    <row r="261" spans="2:16" collapsed="1">
      <c r="B261" s="5" t="s">
        <v>191</v>
      </c>
      <c r="C261" s="5" t="str">
        <f t="shared" si="3"/>
        <v>Beat White Range Round EU</v>
      </c>
      <c r="D261" s="42">
        <f>1980</f>
        <v>1980</v>
      </c>
      <c r="E261" s="5"/>
      <c r="F261" s="5"/>
      <c r="G261" s="42"/>
      <c r="H261" s="7"/>
      <c r="I261" s="5"/>
      <c r="J261" s="14"/>
      <c r="K261" s="14"/>
      <c r="L261" s="5"/>
      <c r="M261" s="5"/>
      <c r="N261" s="5"/>
      <c r="O261" s="3"/>
      <c r="P261" s="3"/>
    </row>
    <row r="262" spans="2:16" hidden="1" outlineLevel="1">
      <c r="B262" s="5" t="s">
        <v>192</v>
      </c>
      <c r="C262" s="5" t="str">
        <f>"Beat White Trio Round EU"</f>
        <v>Beat White Trio Round EU</v>
      </c>
      <c r="D262" s="42">
        <f>1080</f>
        <v>1080</v>
      </c>
      <c r="E262" s="5" t="s">
        <v>52</v>
      </c>
      <c r="F262" s="5" t="str">
        <f>IF($E262="","","Beat Wide White Pendant EU")</f>
        <v>Beat Wide White Pendant EU</v>
      </c>
      <c r="G262" s="42">
        <f>IF($E262="","",360)</f>
        <v>360</v>
      </c>
      <c r="H262" s="7">
        <f>1</f>
        <v>1</v>
      </c>
      <c r="I262" s="5"/>
      <c r="J262" s="6"/>
      <c r="K262" s="6"/>
      <c r="L262" s="5"/>
      <c r="M262" s="5"/>
      <c r="N262" s="5"/>
      <c r="O262" s="3"/>
      <c r="P262" s="3"/>
    </row>
    <row r="263" spans="2:16" hidden="1" outlineLevel="1">
      <c r="B263" s="5" t="s">
        <v>192</v>
      </c>
      <c r="C263" s="5" t="str">
        <f>"Beat White Trio Round EU"</f>
        <v>Beat White Trio Round EU</v>
      </c>
      <c r="D263" s="42">
        <f>1080</f>
        <v>1080</v>
      </c>
      <c r="E263" s="5" t="s">
        <v>32</v>
      </c>
      <c r="F263" s="5" t="str">
        <f>IF($E263="","","Beat Fat White Pendant EU")</f>
        <v>Beat Fat White Pendant EU</v>
      </c>
      <c r="G263" s="42">
        <f>IF($E263="","",360)</f>
        <v>360</v>
      </c>
      <c r="H263" s="7">
        <f>1</f>
        <v>1</v>
      </c>
      <c r="I263" s="5"/>
      <c r="J263" s="6"/>
      <c r="K263" s="6"/>
      <c r="L263" s="5"/>
      <c r="M263" s="5"/>
      <c r="N263" s="5"/>
      <c r="O263" s="3"/>
      <c r="P263" s="3"/>
    </row>
    <row r="264" spans="2:16" hidden="1" outlineLevel="1">
      <c r="B264" s="5" t="s">
        <v>192</v>
      </c>
      <c r="C264" s="5" t="str">
        <f>"Beat White Trio Round EU"</f>
        <v>Beat White Trio Round EU</v>
      </c>
      <c r="D264" s="42">
        <f>1080</f>
        <v>1080</v>
      </c>
      <c r="E264" s="5" t="s">
        <v>44</v>
      </c>
      <c r="F264" s="5" t="str">
        <f>IF($E264="","","Beat Tall White   Pendant EU")</f>
        <v>Beat Tall White   Pendant EU</v>
      </c>
      <c r="G264" s="42">
        <f>IF($E264="","",360)</f>
        <v>360</v>
      </c>
      <c r="H264" s="7">
        <f>1</f>
        <v>1</v>
      </c>
      <c r="I264" s="5"/>
      <c r="J264" s="6"/>
      <c r="K264" s="6"/>
      <c r="L264" s="5"/>
      <c r="M264" s="5"/>
      <c r="N264" s="5"/>
      <c r="O264" s="3"/>
      <c r="P264" s="3"/>
    </row>
    <row r="265" spans="2:16" hidden="1" outlineLevel="1">
      <c r="B265" s="5" t="s">
        <v>192</v>
      </c>
      <c r="C265" s="5" t="str">
        <f>"Beat White Trio Round EU"</f>
        <v>Beat White Trio Round EU</v>
      </c>
      <c r="D265" s="42">
        <f>1080</f>
        <v>1080</v>
      </c>
      <c r="E265" s="5" t="s">
        <v>181</v>
      </c>
      <c r="F265" s="5" t="str">
        <f>IF($E265="","","Pendant System")</f>
        <v>Pendant System</v>
      </c>
      <c r="G265" s="42">
        <f>IF($E265="","",0)</f>
        <v>0</v>
      </c>
      <c r="H265" s="7">
        <f>1</f>
        <v>1</v>
      </c>
      <c r="I265" s="5"/>
      <c r="J265" s="6"/>
      <c r="K265" s="6"/>
      <c r="L265" s="5"/>
      <c r="M265" s="5"/>
      <c r="N265" s="5"/>
      <c r="O265" s="3"/>
      <c r="P265" s="3"/>
    </row>
    <row r="266" spans="2:16" collapsed="1">
      <c r="B266" s="5" t="s">
        <v>192</v>
      </c>
      <c r="C266" s="5" t="str">
        <f>"Beat White Trio Round EU"</f>
        <v>Beat White Trio Round EU</v>
      </c>
      <c r="D266" s="42">
        <f>1080</f>
        <v>1080</v>
      </c>
      <c r="E266" s="5"/>
      <c r="F266" s="5"/>
      <c r="G266" s="42"/>
      <c r="H266" s="7"/>
      <c r="I266" s="5"/>
      <c r="J266" s="14"/>
      <c r="K266" s="14"/>
      <c r="L266" s="5"/>
      <c r="M266" s="5"/>
      <c r="N266" s="5"/>
      <c r="O266" s="3"/>
      <c r="P266" s="3"/>
    </row>
    <row r="267" spans="2:16" hidden="1" outlineLevel="1">
      <c r="B267" s="5" t="s">
        <v>193</v>
      </c>
      <c r="C267" s="5" t="str">
        <f>"Copper 25cm Black Round PS EU"</f>
        <v>Copper 25cm Black Round PS EU</v>
      </c>
      <c r="D267" s="42">
        <f>1575</f>
        <v>1575</v>
      </c>
      <c r="E267" s="5" t="s">
        <v>181</v>
      </c>
      <c r="F267" s="5" t="str">
        <f>IF($E267="","","Pendant System")</f>
        <v>Pendant System</v>
      </c>
      <c r="G267" s="42">
        <f>IF($E267="","",0)</f>
        <v>0</v>
      </c>
      <c r="H267" s="7">
        <f>1</f>
        <v>1</v>
      </c>
      <c r="I267" s="5"/>
      <c r="J267" s="6"/>
      <c r="K267" s="6"/>
      <c r="L267" s="5"/>
      <c r="M267" s="5"/>
      <c r="N267" s="5"/>
      <c r="O267" s="3"/>
      <c r="P267" s="3"/>
    </row>
    <row r="268" spans="2:16" hidden="1" outlineLevel="1">
      <c r="B268" s="5" t="s">
        <v>193</v>
      </c>
      <c r="C268" s="5" t="str">
        <f>"Copper 25cm Black Round PS EU"</f>
        <v>Copper 25cm Black Round PS EU</v>
      </c>
      <c r="D268" s="42">
        <f>1575</f>
        <v>1575</v>
      </c>
      <c r="E268" s="5" t="s">
        <v>82</v>
      </c>
      <c r="F268" s="5" t="str">
        <f>IF($E268="","","Copper BLACK Round 25 Pndt EU")</f>
        <v>Copper BLACK Round 25 Pndt EU</v>
      </c>
      <c r="G268" s="42">
        <f>IF($E268="","",315)</f>
        <v>315</v>
      </c>
      <c r="H268" s="7">
        <f>5</f>
        <v>5</v>
      </c>
      <c r="I268" s="5"/>
      <c r="J268" s="6"/>
      <c r="K268" s="6"/>
      <c r="L268" s="5"/>
      <c r="M268" s="5"/>
      <c r="N268" s="5"/>
      <c r="O268" s="3"/>
      <c r="P268" s="3"/>
    </row>
    <row r="269" spans="2:16" collapsed="1">
      <c r="B269" s="5" t="s">
        <v>193</v>
      </c>
      <c r="C269" s="5" t="str">
        <f>"Copper 25cm Black Round PS EU"</f>
        <v>Copper 25cm Black Round PS EU</v>
      </c>
      <c r="D269" s="42">
        <f>1575</f>
        <v>1575</v>
      </c>
      <c r="E269" s="5"/>
      <c r="F269" s="5"/>
      <c r="G269" s="42"/>
      <c r="H269" s="7"/>
      <c r="I269" s="5"/>
      <c r="J269" s="14"/>
      <c r="K269" s="14"/>
      <c r="L269" s="5"/>
      <c r="M269" s="5"/>
      <c r="N269" s="5"/>
      <c r="O269" s="3"/>
      <c r="P269" s="3"/>
    </row>
    <row r="270" spans="2:16" hidden="1" outlineLevel="1">
      <c r="B270" s="5" t="s">
        <v>194</v>
      </c>
      <c r="C270" s="5" t="str">
        <f>"Copper 25cm Round EU"</f>
        <v>Copper 25cm Round EU</v>
      </c>
      <c r="D270" s="42">
        <f>1575</f>
        <v>1575</v>
      </c>
      <c r="E270" s="5" t="s">
        <v>181</v>
      </c>
      <c r="F270" s="5" t="str">
        <f>IF($E270="","","Pendant System")</f>
        <v>Pendant System</v>
      </c>
      <c r="G270" s="42">
        <f>IF($E270="","",0)</f>
        <v>0</v>
      </c>
      <c r="H270" s="7">
        <f>1</f>
        <v>1</v>
      </c>
      <c r="I270" s="5"/>
      <c r="J270" s="6"/>
      <c r="K270" s="6"/>
      <c r="L270" s="5"/>
      <c r="M270" s="5"/>
      <c r="N270" s="5"/>
      <c r="O270" s="3"/>
      <c r="P270" s="3"/>
    </row>
    <row r="271" spans="2:16" hidden="1" outlineLevel="1">
      <c r="B271" s="5" t="s">
        <v>194</v>
      </c>
      <c r="C271" s="5" t="str">
        <f>"Copper 25cm Round EU"</f>
        <v>Copper 25cm Round EU</v>
      </c>
      <c r="D271" s="42">
        <f>1575</f>
        <v>1575</v>
      </c>
      <c r="E271" s="5" t="s">
        <v>81</v>
      </c>
      <c r="F271" s="5" t="str">
        <f>IF($E271="","","Copper Round 25cm Pendant EU")</f>
        <v>Copper Round 25cm Pendant EU</v>
      </c>
      <c r="G271" s="42">
        <f>IF($E271="","",315)</f>
        <v>315</v>
      </c>
      <c r="H271" s="7">
        <f>5</f>
        <v>5</v>
      </c>
      <c r="I271" s="5"/>
      <c r="J271" s="6"/>
      <c r="K271" s="6"/>
      <c r="L271" s="5"/>
      <c r="M271" s="5"/>
      <c r="N271" s="5"/>
      <c r="O271" s="3"/>
      <c r="P271" s="3"/>
    </row>
    <row r="272" spans="2:16" collapsed="1">
      <c r="B272" s="5" t="s">
        <v>194</v>
      </c>
      <c r="C272" s="5" t="str">
        <f>"Copper 25cm Round EU"</f>
        <v>Copper 25cm Round EU</v>
      </c>
      <c r="D272" s="42">
        <f>1575</f>
        <v>1575</v>
      </c>
      <c r="E272" s="5"/>
      <c r="F272" s="5"/>
      <c r="G272" s="42"/>
      <c r="H272" s="7"/>
      <c r="I272" s="5"/>
      <c r="J272" s="14"/>
      <c r="K272" s="14"/>
      <c r="L272" s="5"/>
      <c r="M272" s="5"/>
      <c r="N272" s="5"/>
      <c r="O272" s="3"/>
      <c r="P272" s="3"/>
    </row>
    <row r="273" spans="2:16" hidden="1" outlineLevel="1">
      <c r="B273" s="5" t="s">
        <v>195</v>
      </c>
      <c r="C273" s="5" t="str">
        <f>"Copper Black Mega PS EU"</f>
        <v>Copper Black Mega PS EU</v>
      </c>
      <c r="D273" s="42">
        <f>7380</f>
        <v>7380</v>
      </c>
      <c r="E273" s="5" t="s">
        <v>196</v>
      </c>
      <c r="F273" s="5" t="str">
        <f>IF($E273="","","Mega Pendant System Round EU")</f>
        <v>Mega Pendant System Round EU</v>
      </c>
      <c r="G273" s="42">
        <f>IF($E273="","",1350)</f>
        <v>1350</v>
      </c>
      <c r="H273" s="7">
        <f>1</f>
        <v>1</v>
      </c>
      <c r="I273" s="5"/>
      <c r="J273" s="6"/>
      <c r="K273" s="6"/>
      <c r="L273" s="5"/>
      <c r="M273" s="5"/>
      <c r="N273" s="5"/>
      <c r="O273" s="3"/>
      <c r="P273" s="3"/>
    </row>
    <row r="274" spans="2:16" hidden="1" outlineLevel="1">
      <c r="B274" s="5" t="s">
        <v>195</v>
      </c>
      <c r="C274" s="5" t="str">
        <f>"Copper Black Mega PS EU"</f>
        <v>Copper Black Mega PS EU</v>
      </c>
      <c r="D274" s="42">
        <f>7380</f>
        <v>7380</v>
      </c>
      <c r="E274" s="5" t="s">
        <v>78</v>
      </c>
      <c r="F274" s="5" t="str">
        <f>IF($E274="","","Copper BLACK Round 45 Pndt EU")</f>
        <v>Copper BLACK Round 45 Pndt EU</v>
      </c>
      <c r="G274" s="42">
        <f>IF($E274="","",480)</f>
        <v>480</v>
      </c>
      <c r="H274" s="7">
        <f>1</f>
        <v>1</v>
      </c>
      <c r="I274" s="5"/>
      <c r="J274" s="6"/>
      <c r="K274" s="6"/>
      <c r="L274" s="5"/>
      <c r="M274" s="5"/>
      <c r="N274" s="5"/>
      <c r="O274" s="3"/>
      <c r="P274" s="3"/>
    </row>
    <row r="275" spans="2:16" hidden="1" outlineLevel="1">
      <c r="B275" s="5" t="s">
        <v>195</v>
      </c>
      <c r="C275" s="5" t="str">
        <f>"Copper Black Mega PS EU"</f>
        <v>Copper Black Mega PS EU</v>
      </c>
      <c r="D275" s="42">
        <f>7380</f>
        <v>7380</v>
      </c>
      <c r="E275" s="5" t="s">
        <v>86</v>
      </c>
      <c r="F275" s="5" t="str">
        <f>IF($E275="","","Copper BLACK Wide Pndt EU")</f>
        <v>Copper BLACK Wide Pndt EU</v>
      </c>
      <c r="G275" s="42">
        <f>IF($E275="","",480)</f>
        <v>480</v>
      </c>
      <c r="H275" s="7">
        <f>5</f>
        <v>5</v>
      </c>
      <c r="I275" s="5"/>
      <c r="J275" s="6"/>
      <c r="K275" s="6"/>
      <c r="L275" s="5"/>
      <c r="M275" s="5"/>
      <c r="N275" s="5"/>
      <c r="O275" s="3"/>
      <c r="P275" s="3"/>
    </row>
    <row r="276" spans="2:16" hidden="1" outlineLevel="1">
      <c r="B276" s="5" t="s">
        <v>195</v>
      </c>
      <c r="C276" s="5" t="str">
        <f>"Copper Black Mega PS EU"</f>
        <v>Copper Black Mega PS EU</v>
      </c>
      <c r="D276" s="42">
        <f>7380</f>
        <v>7380</v>
      </c>
      <c r="E276" s="5" t="s">
        <v>82</v>
      </c>
      <c r="F276" s="5" t="str">
        <f>IF($E276="","","Copper BLACK Round 25 Pndt EU")</f>
        <v>Copper BLACK Round 25 Pndt EU</v>
      </c>
      <c r="G276" s="42">
        <f>IF($E276="","",315)</f>
        <v>315</v>
      </c>
      <c r="H276" s="7">
        <f>10</f>
        <v>10</v>
      </c>
      <c r="I276" s="5"/>
      <c r="J276" s="6"/>
      <c r="K276" s="6"/>
      <c r="L276" s="5"/>
      <c r="M276" s="5"/>
      <c r="N276" s="5"/>
      <c r="O276" s="3"/>
      <c r="P276" s="3"/>
    </row>
    <row r="277" spans="2:16" collapsed="1">
      <c r="B277" s="5" t="s">
        <v>195</v>
      </c>
      <c r="C277" s="5" t="str">
        <f>"Copper Black Mega PS EU"</f>
        <v>Copper Black Mega PS EU</v>
      </c>
      <c r="D277" s="42">
        <f>7380</f>
        <v>7380</v>
      </c>
      <c r="E277" s="5"/>
      <c r="F277" s="5"/>
      <c r="G277" s="42"/>
      <c r="H277" s="7"/>
      <c r="I277" s="5"/>
      <c r="J277" s="14"/>
      <c r="K277" s="14"/>
      <c r="L277" s="5"/>
      <c r="M277" s="5"/>
      <c r="N277" s="5"/>
      <c r="O277" s="3"/>
      <c r="P277" s="3"/>
    </row>
    <row r="278" spans="2:16" hidden="1" outlineLevel="1">
      <c r="B278" s="5" t="s">
        <v>197</v>
      </c>
      <c r="C278" s="5" t="str">
        <f>"Copper Black Round PS EU"</f>
        <v>Copper Black Round PS EU</v>
      </c>
      <c r="D278" s="42">
        <f>1590</f>
        <v>1590</v>
      </c>
      <c r="E278" s="5" t="s">
        <v>181</v>
      </c>
      <c r="F278" s="5" t="str">
        <f>IF($E278="","","Pendant System")</f>
        <v>Pendant System</v>
      </c>
      <c r="G278" s="42">
        <f>IF($E278="","",0)</f>
        <v>0</v>
      </c>
      <c r="H278" s="7">
        <f>1</f>
        <v>1</v>
      </c>
      <c r="I278" s="5"/>
      <c r="J278" s="6"/>
      <c r="K278" s="6"/>
      <c r="L278" s="5"/>
      <c r="M278" s="5"/>
      <c r="N278" s="5"/>
      <c r="O278" s="3"/>
      <c r="P278" s="3"/>
    </row>
    <row r="279" spans="2:16" hidden="1" outlineLevel="1">
      <c r="B279" s="5" t="s">
        <v>197</v>
      </c>
      <c r="C279" s="5" t="str">
        <f>"Copper Black Round PS EU"</f>
        <v>Copper Black Round PS EU</v>
      </c>
      <c r="D279" s="42">
        <f>1590</f>
        <v>1590</v>
      </c>
      <c r="E279" s="5" t="s">
        <v>78</v>
      </c>
      <c r="F279" s="5" t="str">
        <f>IF($E279="","","Copper BLACK Round 45 Pndt EU")</f>
        <v>Copper BLACK Round 45 Pndt EU</v>
      </c>
      <c r="G279" s="42">
        <f>IF($E279="","",480)</f>
        <v>480</v>
      </c>
      <c r="H279" s="7">
        <f>1</f>
        <v>1</v>
      </c>
      <c r="I279" s="5"/>
      <c r="J279" s="6"/>
      <c r="K279" s="6"/>
      <c r="L279" s="5"/>
      <c r="M279" s="5"/>
      <c r="N279" s="5"/>
      <c r="O279" s="3"/>
      <c r="P279" s="3"/>
    </row>
    <row r="280" spans="2:16" hidden="1" outlineLevel="1">
      <c r="B280" s="5" t="s">
        <v>197</v>
      </c>
      <c r="C280" s="5" t="str">
        <f>"Copper Black Round PS EU"</f>
        <v>Copper Black Round PS EU</v>
      </c>
      <c r="D280" s="42">
        <f>1590</f>
        <v>1590</v>
      </c>
      <c r="E280" s="5" t="s">
        <v>86</v>
      </c>
      <c r="F280" s="5" t="str">
        <f>IF($E280="","","Copper BLACK Wide Pndt EU")</f>
        <v>Copper BLACK Wide Pndt EU</v>
      </c>
      <c r="G280" s="42">
        <f>IF($E280="","",480)</f>
        <v>480</v>
      </c>
      <c r="H280" s="7">
        <f>1</f>
        <v>1</v>
      </c>
      <c r="I280" s="5"/>
      <c r="J280" s="6"/>
      <c r="K280" s="6"/>
      <c r="L280" s="5"/>
      <c r="M280" s="5"/>
      <c r="N280" s="5"/>
      <c r="O280" s="3"/>
      <c r="P280" s="3"/>
    </row>
    <row r="281" spans="2:16" hidden="1" outlineLevel="1">
      <c r="B281" s="5" t="s">
        <v>197</v>
      </c>
      <c r="C281" s="5" t="str">
        <f>"Copper Black Round PS EU"</f>
        <v>Copper Black Round PS EU</v>
      </c>
      <c r="D281" s="42">
        <f>1590</f>
        <v>1590</v>
      </c>
      <c r="E281" s="5" t="s">
        <v>82</v>
      </c>
      <c r="F281" s="5" t="str">
        <f>IF($E281="","","Copper BLACK Round 25 Pndt EU")</f>
        <v>Copper BLACK Round 25 Pndt EU</v>
      </c>
      <c r="G281" s="42">
        <f>IF($E281="","",315)</f>
        <v>315</v>
      </c>
      <c r="H281" s="7">
        <f>2</f>
        <v>2</v>
      </c>
      <c r="I281" s="5"/>
      <c r="J281" s="6"/>
      <c r="K281" s="6"/>
      <c r="L281" s="5"/>
      <c r="M281" s="5"/>
      <c r="N281" s="5"/>
      <c r="O281" s="3"/>
      <c r="P281" s="3"/>
    </row>
    <row r="282" spans="2:16" collapsed="1">
      <c r="B282" s="5" t="s">
        <v>197</v>
      </c>
      <c r="C282" s="5" t="str">
        <f>"Copper Black Round PS EU"</f>
        <v>Copper Black Round PS EU</v>
      </c>
      <c r="D282" s="42">
        <f>1590</f>
        <v>1590</v>
      </c>
      <c r="E282" s="5"/>
      <c r="F282" s="5"/>
      <c r="G282" s="42"/>
      <c r="H282" s="7"/>
      <c r="I282" s="5"/>
      <c r="J282" s="14"/>
      <c r="K282" s="14"/>
      <c r="L282" s="5"/>
      <c r="M282" s="5"/>
      <c r="N282" s="5"/>
      <c r="O282" s="3"/>
      <c r="P282" s="3"/>
    </row>
    <row r="283" spans="2:16" hidden="1" outlineLevel="1">
      <c r="B283" s="5" t="s">
        <v>198</v>
      </c>
      <c r="C283" s="5" t="str">
        <f>"Copper Mega PS EU"</f>
        <v>Copper Mega PS EU</v>
      </c>
      <c r="D283" s="42">
        <f>7430</f>
        <v>7430</v>
      </c>
      <c r="E283" s="5" t="s">
        <v>196</v>
      </c>
      <c r="F283" s="5" t="str">
        <f>IF($E283="","","Mega Pendant System Round EU")</f>
        <v>Mega Pendant System Round EU</v>
      </c>
      <c r="G283" s="42">
        <f>IF($E283="","",1350)</f>
        <v>1350</v>
      </c>
      <c r="H283" s="7">
        <f>1</f>
        <v>1</v>
      </c>
      <c r="I283" s="5"/>
      <c r="J283" s="6"/>
      <c r="K283" s="6"/>
      <c r="L283" s="5"/>
      <c r="M283" s="5"/>
      <c r="N283" s="5"/>
      <c r="O283" s="3"/>
      <c r="P283" s="3"/>
    </row>
    <row r="284" spans="2:16" hidden="1" outlineLevel="1">
      <c r="B284" s="5" t="s">
        <v>198</v>
      </c>
      <c r="C284" s="5" t="str">
        <f>"Copper Mega PS EU"</f>
        <v>Copper Mega PS EU</v>
      </c>
      <c r="D284" s="42">
        <f>7430</f>
        <v>7430</v>
      </c>
      <c r="E284" s="5" t="s">
        <v>77</v>
      </c>
      <c r="F284" s="5" t="str">
        <f>IF($E284="","","Copper Round 45cm Pendant EU")</f>
        <v>Copper Round 45cm Pendant EU</v>
      </c>
      <c r="G284" s="42">
        <f>IF($E284="","",480)</f>
        <v>480</v>
      </c>
      <c r="H284" s="7">
        <f>1</f>
        <v>1</v>
      </c>
      <c r="I284" s="5"/>
      <c r="J284" s="6"/>
      <c r="K284" s="6"/>
      <c r="L284" s="5"/>
      <c r="M284" s="5"/>
      <c r="N284" s="5"/>
      <c r="O284" s="3"/>
      <c r="P284" s="3"/>
    </row>
    <row r="285" spans="2:16" hidden="1" outlineLevel="1">
      <c r="B285" s="5" t="s">
        <v>198</v>
      </c>
      <c r="C285" s="5" t="str">
        <f>"Copper Mega PS EU"</f>
        <v>Copper Mega PS EU</v>
      </c>
      <c r="D285" s="42">
        <f>7430</f>
        <v>7430</v>
      </c>
      <c r="E285" s="5" t="s">
        <v>85</v>
      </c>
      <c r="F285" s="5" t="str">
        <f>IF($E285="","","Copper Wide Pendant EU")</f>
        <v>Copper Wide Pendant EU</v>
      </c>
      <c r="G285" s="42">
        <f>IF($E285="","",490)</f>
        <v>490</v>
      </c>
      <c r="H285" s="7">
        <f>5</f>
        <v>5</v>
      </c>
      <c r="I285" s="5"/>
      <c r="J285" s="6"/>
      <c r="K285" s="6"/>
      <c r="L285" s="5"/>
      <c r="M285" s="5"/>
      <c r="N285" s="5"/>
      <c r="O285" s="3"/>
      <c r="P285" s="3"/>
    </row>
    <row r="286" spans="2:16" hidden="1" outlineLevel="1">
      <c r="B286" s="5" t="s">
        <v>198</v>
      </c>
      <c r="C286" s="5" t="str">
        <f>"Copper Mega PS EU"</f>
        <v>Copper Mega PS EU</v>
      </c>
      <c r="D286" s="42">
        <f>7430</f>
        <v>7430</v>
      </c>
      <c r="E286" s="5" t="s">
        <v>81</v>
      </c>
      <c r="F286" s="5" t="str">
        <f>IF($E286="","","Copper Round 25cm Pendant EU")</f>
        <v>Copper Round 25cm Pendant EU</v>
      </c>
      <c r="G286" s="42">
        <f>IF($E286="","",315)</f>
        <v>315</v>
      </c>
      <c r="H286" s="7">
        <f>10</f>
        <v>10</v>
      </c>
      <c r="I286" s="5"/>
      <c r="J286" s="6"/>
      <c r="K286" s="6"/>
      <c r="L286" s="5"/>
      <c r="M286" s="5"/>
      <c r="N286" s="5"/>
      <c r="O286" s="3"/>
      <c r="P286" s="3"/>
    </row>
    <row r="287" spans="2:16" collapsed="1">
      <c r="B287" s="5" t="s">
        <v>198</v>
      </c>
      <c r="C287" s="5" t="str">
        <f>"Copper Mega PS EU"</f>
        <v>Copper Mega PS EU</v>
      </c>
      <c r="D287" s="42">
        <f>7430</f>
        <v>7430</v>
      </c>
      <c r="E287" s="5"/>
      <c r="F287" s="5"/>
      <c r="G287" s="42"/>
      <c r="H287" s="7"/>
      <c r="I287" s="5"/>
      <c r="J287" s="14"/>
      <c r="K287" s="14"/>
      <c r="L287" s="5"/>
      <c r="M287" s="5"/>
      <c r="N287" s="5"/>
      <c r="O287" s="3"/>
      <c r="P287" s="3"/>
    </row>
    <row r="288" spans="2:16" hidden="1" outlineLevel="1">
      <c r="B288" s="5" t="s">
        <v>199</v>
      </c>
      <c r="C288" s="5" t="str">
        <f>"Copper Round PS EU"</f>
        <v>Copper Round PS EU</v>
      </c>
      <c r="D288" s="42">
        <f>1600</f>
        <v>1600</v>
      </c>
      <c r="E288" s="5" t="s">
        <v>181</v>
      </c>
      <c r="F288" s="5" t="str">
        <f>IF($E288="","","Pendant System")</f>
        <v>Pendant System</v>
      </c>
      <c r="G288" s="42">
        <f>IF($E288="","",0)</f>
        <v>0</v>
      </c>
      <c r="H288" s="7">
        <f>1</f>
        <v>1</v>
      </c>
      <c r="I288" s="5"/>
      <c r="J288" s="6"/>
      <c r="K288" s="6"/>
      <c r="L288" s="5"/>
      <c r="M288" s="5"/>
      <c r="N288" s="5"/>
      <c r="O288" s="3"/>
      <c r="P288" s="3"/>
    </row>
    <row r="289" spans="2:16" hidden="1" outlineLevel="1">
      <c r="B289" s="5" t="s">
        <v>199</v>
      </c>
      <c r="C289" s="5" t="str">
        <f>"Copper Round PS EU"</f>
        <v>Copper Round PS EU</v>
      </c>
      <c r="D289" s="42">
        <f>1600</f>
        <v>1600</v>
      </c>
      <c r="E289" s="5" t="s">
        <v>77</v>
      </c>
      <c r="F289" s="5" t="str">
        <f>IF($E289="","","Copper Round 45cm Pendant EU")</f>
        <v>Copper Round 45cm Pendant EU</v>
      </c>
      <c r="G289" s="42">
        <f>IF($E289="","",480)</f>
        <v>480</v>
      </c>
      <c r="H289" s="7">
        <f>1</f>
        <v>1</v>
      </c>
      <c r="I289" s="5"/>
      <c r="J289" s="6"/>
      <c r="K289" s="6"/>
      <c r="L289" s="5"/>
      <c r="M289" s="5"/>
      <c r="N289" s="5"/>
      <c r="O289" s="3"/>
      <c r="P289" s="3"/>
    </row>
    <row r="290" spans="2:16" hidden="1" outlineLevel="1">
      <c r="B290" s="5" t="s">
        <v>199</v>
      </c>
      <c r="C290" s="5" t="str">
        <f>"Copper Round PS EU"</f>
        <v>Copper Round PS EU</v>
      </c>
      <c r="D290" s="42">
        <f>1600</f>
        <v>1600</v>
      </c>
      <c r="E290" s="5" t="s">
        <v>85</v>
      </c>
      <c r="F290" s="5" t="str">
        <f>IF($E290="","","Copper Wide Pendant EU")</f>
        <v>Copper Wide Pendant EU</v>
      </c>
      <c r="G290" s="42">
        <f>IF($E290="","",490)</f>
        <v>490</v>
      </c>
      <c r="H290" s="7">
        <f>1</f>
        <v>1</v>
      </c>
      <c r="I290" s="5"/>
      <c r="J290" s="6"/>
      <c r="K290" s="6"/>
      <c r="L290" s="5"/>
      <c r="M290" s="5"/>
      <c r="N290" s="5"/>
      <c r="O290" s="3"/>
      <c r="P290" s="3"/>
    </row>
    <row r="291" spans="2:16" hidden="1" outlineLevel="1">
      <c r="B291" s="5" t="s">
        <v>199</v>
      </c>
      <c r="C291" s="5" t="str">
        <f>"Copper Round PS EU"</f>
        <v>Copper Round PS EU</v>
      </c>
      <c r="D291" s="42">
        <f>1600</f>
        <v>1600</v>
      </c>
      <c r="E291" s="5" t="s">
        <v>81</v>
      </c>
      <c r="F291" s="5" t="str">
        <f>IF($E291="","","Copper Round 25cm Pendant EU")</f>
        <v>Copper Round 25cm Pendant EU</v>
      </c>
      <c r="G291" s="42">
        <f>IF($E291="","",315)</f>
        <v>315</v>
      </c>
      <c r="H291" s="7">
        <f>2</f>
        <v>2</v>
      </c>
      <c r="I291" s="5"/>
      <c r="J291" s="6"/>
      <c r="K291" s="6"/>
      <c r="L291" s="5"/>
      <c r="M291" s="5"/>
      <c r="N291" s="5"/>
      <c r="O291" s="3"/>
      <c r="P291" s="3"/>
    </row>
    <row r="292" spans="2:16" collapsed="1">
      <c r="B292" s="5" t="s">
        <v>199</v>
      </c>
      <c r="C292" s="5" t="str">
        <f>"Copper Round PS EU"</f>
        <v>Copper Round PS EU</v>
      </c>
      <c r="D292" s="42">
        <f>1600</f>
        <v>1600</v>
      </c>
      <c r="E292" s="5"/>
      <c r="F292" s="5"/>
      <c r="G292" s="42"/>
      <c r="H292" s="7"/>
      <c r="I292" s="5"/>
      <c r="J292" s="14"/>
      <c r="K292" s="14"/>
      <c r="L292" s="5"/>
      <c r="M292" s="5"/>
      <c r="N292" s="5"/>
      <c r="O292" s="3"/>
      <c r="P292" s="3"/>
    </row>
    <row r="293" spans="2:16" hidden="1" outlineLevel="1">
      <c r="B293" s="5" t="s">
        <v>200</v>
      </c>
      <c r="C293" s="5" t="str">
        <f>"Copper Trio Black Round PS EU"</f>
        <v>Copper Trio Black Round PS EU</v>
      </c>
      <c r="D293" s="42">
        <f>1110</f>
        <v>1110</v>
      </c>
      <c r="E293" s="5" t="s">
        <v>181</v>
      </c>
      <c r="F293" s="5" t="str">
        <f>IF($E293="","","Pendant System")</f>
        <v>Pendant System</v>
      </c>
      <c r="G293" s="42">
        <f>IF($E293="","",0)</f>
        <v>0</v>
      </c>
      <c r="H293" s="7">
        <f>1</f>
        <v>1</v>
      </c>
      <c r="I293" s="5"/>
      <c r="J293" s="6"/>
      <c r="K293" s="6"/>
      <c r="L293" s="5"/>
      <c r="M293" s="5"/>
      <c r="N293" s="5"/>
      <c r="O293" s="3"/>
      <c r="P293" s="3"/>
    </row>
    <row r="294" spans="2:16" hidden="1" outlineLevel="1">
      <c r="B294" s="5" t="s">
        <v>200</v>
      </c>
      <c r="C294" s="5" t="str">
        <f>"Copper Trio Black Round PS EU"</f>
        <v>Copper Trio Black Round PS EU</v>
      </c>
      <c r="D294" s="42">
        <f>1110</f>
        <v>1110</v>
      </c>
      <c r="E294" s="5" t="s">
        <v>78</v>
      </c>
      <c r="F294" s="5" t="str">
        <f>IF($E294="","","Copper BLACK Round 45 Pndt EU")</f>
        <v>Copper BLACK Round 45 Pndt EU</v>
      </c>
      <c r="G294" s="42">
        <f>IF($E294="","",480)</f>
        <v>480</v>
      </c>
      <c r="H294" s="7">
        <f>1</f>
        <v>1</v>
      </c>
      <c r="I294" s="5"/>
      <c r="J294" s="6"/>
      <c r="K294" s="6"/>
      <c r="L294" s="5"/>
      <c r="M294" s="5"/>
      <c r="N294" s="5"/>
      <c r="O294" s="3"/>
      <c r="P294" s="3"/>
    </row>
    <row r="295" spans="2:16" hidden="1" outlineLevel="1">
      <c r="B295" s="5" t="s">
        <v>200</v>
      </c>
      <c r="C295" s="5" t="str">
        <f>"Copper Trio Black Round PS EU"</f>
        <v>Copper Trio Black Round PS EU</v>
      </c>
      <c r="D295" s="42">
        <f>1110</f>
        <v>1110</v>
      </c>
      <c r="E295" s="5" t="s">
        <v>82</v>
      </c>
      <c r="F295" s="5" t="str">
        <f>IF($E295="","","Copper BLACK Round 25 Pndt EU")</f>
        <v>Copper BLACK Round 25 Pndt EU</v>
      </c>
      <c r="G295" s="42">
        <f>IF($E295="","",315)</f>
        <v>315</v>
      </c>
      <c r="H295" s="7">
        <f>2</f>
        <v>2</v>
      </c>
      <c r="I295" s="5"/>
      <c r="J295" s="6"/>
      <c r="K295" s="6"/>
      <c r="L295" s="5"/>
      <c r="M295" s="5"/>
      <c r="N295" s="5"/>
      <c r="O295" s="3"/>
      <c r="P295" s="3"/>
    </row>
    <row r="296" spans="2:16" collapsed="1">
      <c r="B296" s="5" t="s">
        <v>200</v>
      </c>
      <c r="C296" s="5" t="str">
        <f>"Copper Trio Black Round PS EU"</f>
        <v>Copper Trio Black Round PS EU</v>
      </c>
      <c r="D296" s="42">
        <f>1110</f>
        <v>1110</v>
      </c>
      <c r="E296" s="5"/>
      <c r="F296" s="5"/>
      <c r="G296" s="42"/>
      <c r="H296" s="7"/>
      <c r="I296" s="5"/>
      <c r="J296" s="14"/>
      <c r="K296" s="14"/>
      <c r="L296" s="5"/>
      <c r="M296" s="5"/>
      <c r="N296" s="5"/>
      <c r="O296" s="3"/>
      <c r="P296" s="3"/>
    </row>
    <row r="297" spans="2:16" hidden="1" outlineLevel="1">
      <c r="B297" s="5" t="s">
        <v>201</v>
      </c>
      <c r="C297" s="5" t="str">
        <f>"Copper Trio Round EU"</f>
        <v>Copper Trio Round EU</v>
      </c>
      <c r="D297" s="42">
        <f>1110</f>
        <v>1110</v>
      </c>
      <c r="E297" s="5" t="s">
        <v>181</v>
      </c>
      <c r="F297" s="5" t="str">
        <f>IF($E297="","","Pendant System")</f>
        <v>Pendant System</v>
      </c>
      <c r="G297" s="42">
        <f>IF($E297="","",0)</f>
        <v>0</v>
      </c>
      <c r="H297" s="7">
        <f>1</f>
        <v>1</v>
      </c>
      <c r="I297" s="5"/>
      <c r="J297" s="6"/>
      <c r="K297" s="6"/>
      <c r="L297" s="5"/>
      <c r="M297" s="5"/>
      <c r="N297" s="5"/>
      <c r="O297" s="3"/>
      <c r="P297" s="3"/>
    </row>
    <row r="298" spans="2:16" hidden="1" outlineLevel="1">
      <c r="B298" s="5" t="s">
        <v>201</v>
      </c>
      <c r="C298" s="5" t="str">
        <f>"Copper Trio Round EU"</f>
        <v>Copper Trio Round EU</v>
      </c>
      <c r="D298" s="42">
        <f>1110</f>
        <v>1110</v>
      </c>
      <c r="E298" s="5" t="s">
        <v>77</v>
      </c>
      <c r="F298" s="5" t="str">
        <f>IF($E298="","","Copper Round 45cm Pendant EU")</f>
        <v>Copper Round 45cm Pendant EU</v>
      </c>
      <c r="G298" s="42">
        <f>IF($E298="","",480)</f>
        <v>480</v>
      </c>
      <c r="H298" s="7">
        <f>1</f>
        <v>1</v>
      </c>
      <c r="I298" s="5"/>
      <c r="J298" s="6"/>
      <c r="K298" s="6"/>
      <c r="L298" s="5"/>
      <c r="M298" s="5"/>
      <c r="N298" s="5"/>
      <c r="O298" s="3"/>
      <c r="P298" s="3"/>
    </row>
    <row r="299" spans="2:16" hidden="1" outlineLevel="1">
      <c r="B299" s="5" t="s">
        <v>201</v>
      </c>
      <c r="C299" s="5" t="str">
        <f>"Copper Trio Round EU"</f>
        <v>Copper Trio Round EU</v>
      </c>
      <c r="D299" s="42">
        <f>1110</f>
        <v>1110</v>
      </c>
      <c r="E299" s="5" t="s">
        <v>81</v>
      </c>
      <c r="F299" s="5" t="str">
        <f>IF($E299="","","Copper Round 25cm Pendant EU")</f>
        <v>Copper Round 25cm Pendant EU</v>
      </c>
      <c r="G299" s="42">
        <f>IF($E299="","",315)</f>
        <v>315</v>
      </c>
      <c r="H299" s="7">
        <f>2</f>
        <v>2</v>
      </c>
      <c r="I299" s="5"/>
      <c r="J299" s="6"/>
      <c r="K299" s="6"/>
      <c r="L299" s="5"/>
      <c r="M299" s="5"/>
      <c r="N299" s="5"/>
      <c r="O299" s="3"/>
      <c r="P299" s="3"/>
    </row>
    <row r="300" spans="2:16" collapsed="1">
      <c r="B300" s="5" t="s">
        <v>201</v>
      </c>
      <c r="C300" s="5" t="str">
        <f>"Copper Trio Round EU"</f>
        <v>Copper Trio Round EU</v>
      </c>
      <c r="D300" s="42">
        <f>1110</f>
        <v>1110</v>
      </c>
      <c r="E300" s="5"/>
      <c r="F300" s="5"/>
      <c r="G300" s="42"/>
      <c r="H300" s="7"/>
      <c r="I300" s="5"/>
      <c r="J300" s="14"/>
      <c r="K300" s="14"/>
      <c r="L300" s="5"/>
      <c r="M300" s="5"/>
      <c r="N300" s="5"/>
      <c r="O300" s="3"/>
      <c r="P300" s="3"/>
    </row>
    <row r="301" spans="2:16" hidden="1" outlineLevel="1">
      <c r="B301" s="5" t="s">
        <v>202</v>
      </c>
      <c r="C301" s="5" t="str">
        <f>"Melt Chrome Large Round EU"</f>
        <v>Melt Chrome Large Round EU</v>
      </c>
      <c r="D301" s="42">
        <f>2910</f>
        <v>2910</v>
      </c>
      <c r="E301" s="5" t="s">
        <v>181</v>
      </c>
      <c r="F301" s="5" t="str">
        <f>IF($E301="","","Pendant System")</f>
        <v>Pendant System</v>
      </c>
      <c r="G301" s="42">
        <f>IF($E301="","",0)</f>
        <v>0</v>
      </c>
      <c r="H301" s="7">
        <f>1</f>
        <v>1</v>
      </c>
      <c r="I301" s="5"/>
      <c r="J301" s="6"/>
      <c r="K301" s="6"/>
      <c r="L301" s="5"/>
      <c r="M301" s="5"/>
      <c r="N301" s="5"/>
      <c r="O301" s="3"/>
      <c r="P301" s="3"/>
    </row>
    <row r="302" spans="2:16" hidden="1" outlineLevel="1">
      <c r="B302" s="5" t="s">
        <v>202</v>
      </c>
      <c r="C302" s="5" t="str">
        <f>"Melt Chrome Large Round EU"</f>
        <v>Melt Chrome Large Round EU</v>
      </c>
      <c r="D302" s="42">
        <f>2910</f>
        <v>2910</v>
      </c>
      <c r="E302" s="5" t="s">
        <v>111</v>
      </c>
      <c r="F302" s="5" t="str">
        <f>IF($E302="","","Melt Pendant Chrome 50 EU")</f>
        <v>Melt Pendant Chrome 50 EU</v>
      </c>
      <c r="G302" s="42">
        <f>IF($E302="","",735)</f>
        <v>735</v>
      </c>
      <c r="H302" s="7">
        <f>2</f>
        <v>2</v>
      </c>
      <c r="I302" s="5"/>
      <c r="J302" s="6"/>
      <c r="K302" s="6"/>
      <c r="L302" s="5"/>
      <c r="M302" s="5"/>
      <c r="N302" s="5"/>
      <c r="O302" s="3"/>
      <c r="P302" s="3"/>
    </row>
    <row r="303" spans="2:16" hidden="1" outlineLevel="1">
      <c r="B303" s="5" t="s">
        <v>202</v>
      </c>
      <c r="C303" s="5" t="str">
        <f>"Melt Chrome Large Round EU"</f>
        <v>Melt Chrome Large Round EU</v>
      </c>
      <c r="D303" s="42">
        <f>2910</f>
        <v>2910</v>
      </c>
      <c r="E303" s="5" t="s">
        <v>116</v>
      </c>
      <c r="F303" s="5" t="str">
        <f>IF($E303="","","Melt Pendant mini Chrome EU")</f>
        <v>Melt Pendant mini Chrome EU</v>
      </c>
      <c r="G303" s="42">
        <f>IF($E303="","",480)</f>
        <v>480</v>
      </c>
      <c r="H303" s="7">
        <f>3</f>
        <v>3</v>
      </c>
      <c r="I303" s="5"/>
      <c r="J303" s="6"/>
      <c r="K303" s="6"/>
      <c r="L303" s="5"/>
      <c r="M303" s="5"/>
      <c r="N303" s="5"/>
      <c r="O303" s="3"/>
      <c r="P303" s="3"/>
    </row>
    <row r="304" spans="2:16" collapsed="1">
      <c r="B304" s="5" t="s">
        <v>202</v>
      </c>
      <c r="C304" s="5" t="str">
        <f>"Melt Chrome Large Round EU"</f>
        <v>Melt Chrome Large Round EU</v>
      </c>
      <c r="D304" s="42">
        <f>2910</f>
        <v>2910</v>
      </c>
      <c r="E304" s="5"/>
      <c r="F304" s="5"/>
      <c r="G304" s="42"/>
      <c r="H304" s="7"/>
      <c r="I304" s="5"/>
      <c r="J304" s="14"/>
      <c r="K304" s="14"/>
      <c r="L304" s="5"/>
      <c r="M304" s="5"/>
      <c r="N304" s="5"/>
      <c r="O304" s="3"/>
      <c r="P304" s="3"/>
    </row>
    <row r="305" spans="2:16" hidden="1" outlineLevel="1">
      <c r="B305" s="5" t="s">
        <v>203</v>
      </c>
      <c r="C305" s="5" t="str">
        <f>"Melt Chrome Mini Round EU"</f>
        <v>Melt Chrome Mini Round EU</v>
      </c>
      <c r="D305" s="42">
        <f>2400</f>
        <v>2400</v>
      </c>
      <c r="E305" s="5" t="s">
        <v>181</v>
      </c>
      <c r="F305" s="5" t="str">
        <f>IF($E305="","","Pendant System")</f>
        <v>Pendant System</v>
      </c>
      <c r="G305" s="42">
        <f>IF($E305="","",0)</f>
        <v>0</v>
      </c>
      <c r="H305" s="7">
        <f>1</f>
        <v>1</v>
      </c>
      <c r="I305" s="5"/>
      <c r="J305" s="6"/>
      <c r="K305" s="6"/>
      <c r="L305" s="5"/>
      <c r="M305" s="5"/>
      <c r="N305" s="5"/>
      <c r="O305" s="3"/>
      <c r="P305" s="3"/>
    </row>
    <row r="306" spans="2:16" hidden="1" outlineLevel="1">
      <c r="B306" s="5" t="s">
        <v>203</v>
      </c>
      <c r="C306" s="5" t="str">
        <f>"Melt Chrome Mini Round EU"</f>
        <v>Melt Chrome Mini Round EU</v>
      </c>
      <c r="D306" s="42">
        <f>2400</f>
        <v>2400</v>
      </c>
      <c r="E306" s="5" t="s">
        <v>116</v>
      </c>
      <c r="F306" s="5" t="str">
        <f>IF($E306="","","Melt Pendant mini Chrome EU")</f>
        <v>Melt Pendant mini Chrome EU</v>
      </c>
      <c r="G306" s="42">
        <f>IF($E306="","",480)</f>
        <v>480</v>
      </c>
      <c r="H306" s="7">
        <f>5</f>
        <v>5</v>
      </c>
      <c r="I306" s="5"/>
      <c r="J306" s="6"/>
      <c r="K306" s="6"/>
      <c r="L306" s="5"/>
      <c r="M306" s="5"/>
      <c r="N306" s="5"/>
      <c r="O306" s="3"/>
      <c r="P306" s="3"/>
    </row>
    <row r="307" spans="2:16" collapsed="1">
      <c r="B307" s="5" t="s">
        <v>203</v>
      </c>
      <c r="C307" s="5" t="str">
        <f>"Melt Chrome Mini Round EU"</f>
        <v>Melt Chrome Mini Round EU</v>
      </c>
      <c r="D307" s="42">
        <f>2400</f>
        <v>2400</v>
      </c>
      <c r="E307" s="5"/>
      <c r="F307" s="5"/>
      <c r="G307" s="42"/>
      <c r="H307" s="7"/>
      <c r="I307" s="5"/>
      <c r="J307" s="14"/>
      <c r="K307" s="14"/>
      <c r="L307" s="5"/>
      <c r="M307" s="5"/>
      <c r="N307" s="5"/>
      <c r="O307" s="3"/>
      <c r="P307" s="3"/>
    </row>
    <row r="308" spans="2:16" hidden="1" outlineLevel="1">
      <c r="B308" s="5" t="s">
        <v>204</v>
      </c>
      <c r="C308" s="5" t="str">
        <f>"Melt Chrome Trio Round EU"</f>
        <v>Melt Chrome Trio Round EU</v>
      </c>
      <c r="D308" s="42">
        <f>1695</f>
        <v>1695</v>
      </c>
      <c r="E308" s="5" t="s">
        <v>181</v>
      </c>
      <c r="F308" s="5" t="str">
        <f>IF($E308="","","Pendant System")</f>
        <v>Pendant System</v>
      </c>
      <c r="G308" s="42">
        <f>IF($E308="","",0)</f>
        <v>0</v>
      </c>
      <c r="H308" s="7">
        <f>1</f>
        <v>1</v>
      </c>
      <c r="I308" s="5"/>
      <c r="J308" s="6"/>
      <c r="K308" s="6"/>
      <c r="L308" s="5"/>
      <c r="M308" s="5"/>
      <c r="N308" s="5"/>
      <c r="O308" s="3"/>
      <c r="P308" s="3"/>
    </row>
    <row r="309" spans="2:16" hidden="1" outlineLevel="1">
      <c r="B309" s="5" t="s">
        <v>204</v>
      </c>
      <c r="C309" s="5" t="str">
        <f>"Melt Chrome Trio Round EU"</f>
        <v>Melt Chrome Trio Round EU</v>
      </c>
      <c r="D309" s="42">
        <f>1695</f>
        <v>1695</v>
      </c>
      <c r="E309" s="5" t="s">
        <v>111</v>
      </c>
      <c r="F309" s="5" t="str">
        <f>IF($E309="","","Melt Pendant Chrome 50 EU")</f>
        <v>Melt Pendant Chrome 50 EU</v>
      </c>
      <c r="G309" s="42">
        <f>IF($E309="","",735)</f>
        <v>735</v>
      </c>
      <c r="H309" s="7">
        <f>1</f>
        <v>1</v>
      </c>
      <c r="I309" s="5"/>
      <c r="J309" s="6"/>
      <c r="K309" s="6"/>
      <c r="L309" s="5"/>
      <c r="M309" s="5"/>
      <c r="N309" s="5"/>
      <c r="O309" s="3"/>
      <c r="P309" s="3"/>
    </row>
    <row r="310" spans="2:16" hidden="1" outlineLevel="1">
      <c r="B310" s="5" t="s">
        <v>204</v>
      </c>
      <c r="C310" s="5" t="str">
        <f>"Melt Chrome Trio Round EU"</f>
        <v>Melt Chrome Trio Round EU</v>
      </c>
      <c r="D310" s="42">
        <f>1695</f>
        <v>1695</v>
      </c>
      <c r="E310" s="5" t="s">
        <v>116</v>
      </c>
      <c r="F310" s="5" t="str">
        <f>IF($E310="","","Melt Pendant mini Chrome EU")</f>
        <v>Melt Pendant mini Chrome EU</v>
      </c>
      <c r="G310" s="42">
        <f>IF($E310="","",480)</f>
        <v>480</v>
      </c>
      <c r="H310" s="7">
        <f>2</f>
        <v>2</v>
      </c>
      <c r="I310" s="5"/>
      <c r="J310" s="6"/>
      <c r="K310" s="6"/>
      <c r="L310" s="5"/>
      <c r="M310" s="5"/>
      <c r="N310" s="5"/>
      <c r="O310" s="3"/>
      <c r="P310" s="3"/>
    </row>
    <row r="311" spans="2:16" collapsed="1">
      <c r="B311" s="5" t="s">
        <v>204</v>
      </c>
      <c r="C311" s="5" t="str">
        <f>"Melt Chrome Trio Round EU"</f>
        <v>Melt Chrome Trio Round EU</v>
      </c>
      <c r="D311" s="42">
        <f>1695</f>
        <v>1695</v>
      </c>
      <c r="E311" s="5"/>
      <c r="F311" s="5"/>
      <c r="G311" s="42"/>
      <c r="H311" s="7"/>
      <c r="I311" s="5"/>
      <c r="J311" s="14"/>
      <c r="K311" s="14"/>
      <c r="L311" s="5"/>
      <c r="M311" s="5"/>
      <c r="N311" s="5"/>
      <c r="O311" s="3"/>
      <c r="P311" s="3"/>
    </row>
    <row r="312" spans="2:16" hidden="1" outlineLevel="1">
      <c r="B312" s="5" t="s">
        <v>205</v>
      </c>
      <c r="C312" s="5" t="str">
        <f>"Melt Copper Large Round EU"</f>
        <v>Melt Copper Large Round EU</v>
      </c>
      <c r="D312" s="42">
        <f>2910</f>
        <v>2910</v>
      </c>
      <c r="E312" s="5" t="s">
        <v>181</v>
      </c>
      <c r="F312" s="5" t="str">
        <f>IF($E312="","","Pendant System")</f>
        <v>Pendant System</v>
      </c>
      <c r="G312" s="42">
        <f>IF($E312="","",0)</f>
        <v>0</v>
      </c>
      <c r="H312" s="7">
        <f>1</f>
        <v>1</v>
      </c>
      <c r="I312" s="5"/>
      <c r="J312" s="6"/>
      <c r="K312" s="6"/>
      <c r="L312" s="5"/>
      <c r="M312" s="5"/>
      <c r="N312" s="5"/>
      <c r="O312" s="3"/>
      <c r="P312" s="3"/>
    </row>
    <row r="313" spans="2:16" hidden="1" outlineLevel="1">
      <c r="B313" s="5" t="s">
        <v>205</v>
      </c>
      <c r="C313" s="5" t="str">
        <f>"Melt Copper Large Round EU"</f>
        <v>Melt Copper Large Round EU</v>
      </c>
      <c r="D313" s="42">
        <f>2910</f>
        <v>2910</v>
      </c>
      <c r="E313" s="5" t="s">
        <v>113</v>
      </c>
      <c r="F313" s="5" t="str">
        <f>IF($E313="","","Melt Pendant Copper 50 EU")</f>
        <v>Melt Pendant Copper 50 EU</v>
      </c>
      <c r="G313" s="42">
        <f>IF($E313="","",735)</f>
        <v>735</v>
      </c>
      <c r="H313" s="7">
        <f>2</f>
        <v>2</v>
      </c>
      <c r="I313" s="5"/>
      <c r="J313" s="6"/>
      <c r="K313" s="6"/>
      <c r="L313" s="5"/>
      <c r="M313" s="5"/>
      <c r="N313" s="5"/>
      <c r="O313" s="3"/>
      <c r="P313" s="3"/>
    </row>
    <row r="314" spans="2:16" hidden="1" outlineLevel="1">
      <c r="B314" s="5" t="s">
        <v>205</v>
      </c>
      <c r="C314" s="5" t="str">
        <f>"Melt Copper Large Round EU"</f>
        <v>Melt Copper Large Round EU</v>
      </c>
      <c r="D314" s="42">
        <f>2910</f>
        <v>2910</v>
      </c>
      <c r="E314" s="5" t="s">
        <v>118</v>
      </c>
      <c r="F314" s="5" t="str">
        <f>IF($E314="","","Melt Pendant mini Copper EU")</f>
        <v>Melt Pendant mini Copper EU</v>
      </c>
      <c r="G314" s="42">
        <f>IF($E314="","",480)</f>
        <v>480</v>
      </c>
      <c r="H314" s="7">
        <f>3</f>
        <v>3</v>
      </c>
      <c r="I314" s="5"/>
      <c r="J314" s="6"/>
      <c r="K314" s="6"/>
      <c r="L314" s="5"/>
      <c r="M314" s="5"/>
      <c r="N314" s="5"/>
      <c r="O314" s="3"/>
      <c r="P314" s="3"/>
    </row>
    <row r="315" spans="2:16" collapsed="1">
      <c r="B315" s="5" t="s">
        <v>205</v>
      </c>
      <c r="C315" s="5" t="str">
        <f>"Melt Copper Large Round EU"</f>
        <v>Melt Copper Large Round EU</v>
      </c>
      <c r="D315" s="42">
        <f>2910</f>
        <v>2910</v>
      </c>
      <c r="E315" s="5"/>
      <c r="F315" s="5"/>
      <c r="G315" s="42"/>
      <c r="H315" s="7"/>
      <c r="I315" s="5"/>
      <c r="J315" s="14"/>
      <c r="K315" s="14"/>
      <c r="L315" s="5"/>
      <c r="M315" s="5"/>
      <c r="N315" s="5"/>
      <c r="O315" s="3"/>
      <c r="P315" s="3"/>
    </row>
    <row r="316" spans="2:16" hidden="1" outlineLevel="1">
      <c r="B316" s="5" t="s">
        <v>206</v>
      </c>
      <c r="C316" s="5" t="str">
        <f>"Melt Copper Mini Round EU"</f>
        <v>Melt Copper Mini Round EU</v>
      </c>
      <c r="D316" s="42">
        <f>2400</f>
        <v>2400</v>
      </c>
      <c r="E316" s="5" t="s">
        <v>181</v>
      </c>
      <c r="F316" s="5" t="str">
        <f>IF($E316="","","Pendant System")</f>
        <v>Pendant System</v>
      </c>
      <c r="G316" s="42">
        <f>IF($E316="","",0)</f>
        <v>0</v>
      </c>
      <c r="H316" s="7">
        <f>1</f>
        <v>1</v>
      </c>
      <c r="I316" s="5"/>
      <c r="J316" s="6"/>
      <c r="K316" s="6"/>
      <c r="L316" s="5"/>
      <c r="M316" s="5"/>
      <c r="N316" s="5"/>
      <c r="O316" s="3"/>
      <c r="P316" s="3"/>
    </row>
    <row r="317" spans="2:16" hidden="1" outlineLevel="1">
      <c r="B317" s="5" t="s">
        <v>206</v>
      </c>
      <c r="C317" s="5" t="str">
        <f>"Melt Copper Mini Round EU"</f>
        <v>Melt Copper Mini Round EU</v>
      </c>
      <c r="D317" s="42">
        <f>2400</f>
        <v>2400</v>
      </c>
      <c r="E317" s="5" t="s">
        <v>118</v>
      </c>
      <c r="F317" s="5" t="str">
        <f>IF($E317="","","Melt Pendant mini Copper EU")</f>
        <v>Melt Pendant mini Copper EU</v>
      </c>
      <c r="G317" s="42">
        <f>IF($E317="","",480)</f>
        <v>480</v>
      </c>
      <c r="H317" s="7">
        <f>5</f>
        <v>5</v>
      </c>
      <c r="I317" s="5"/>
      <c r="J317" s="6"/>
      <c r="K317" s="6"/>
      <c r="L317" s="5"/>
      <c r="M317" s="5"/>
      <c r="N317" s="5"/>
      <c r="O317" s="3"/>
      <c r="P317" s="3"/>
    </row>
    <row r="318" spans="2:16" collapsed="1">
      <c r="B318" s="5" t="s">
        <v>206</v>
      </c>
      <c r="C318" s="5" t="str">
        <f>"Melt Copper Mini Round EU"</f>
        <v>Melt Copper Mini Round EU</v>
      </c>
      <c r="D318" s="42">
        <f>2400</f>
        <v>2400</v>
      </c>
      <c r="E318" s="5"/>
      <c r="F318" s="5"/>
      <c r="G318" s="42"/>
      <c r="H318" s="7"/>
      <c r="I318" s="5"/>
      <c r="J318" s="14"/>
      <c r="K318" s="14"/>
      <c r="L318" s="5"/>
      <c r="M318" s="5"/>
      <c r="N318" s="5"/>
      <c r="O318" s="3"/>
      <c r="P318" s="3"/>
    </row>
    <row r="319" spans="2:16" hidden="1" outlineLevel="1">
      <c r="B319" s="5" t="s">
        <v>207</v>
      </c>
      <c r="C319" s="5" t="str">
        <f>"Melt Copper Trio Round EU"</f>
        <v>Melt Copper Trio Round EU</v>
      </c>
      <c r="D319" s="42">
        <f>1695</f>
        <v>1695</v>
      </c>
      <c r="E319" s="5" t="s">
        <v>181</v>
      </c>
      <c r="F319" s="5" t="str">
        <f>IF($E319="","","Pendant System")</f>
        <v>Pendant System</v>
      </c>
      <c r="G319" s="42">
        <f>IF($E319="","",0)</f>
        <v>0</v>
      </c>
      <c r="H319" s="7">
        <f>1</f>
        <v>1</v>
      </c>
      <c r="I319" s="5"/>
      <c r="J319" s="6"/>
      <c r="K319" s="6"/>
      <c r="L319" s="5"/>
      <c r="M319" s="5"/>
      <c r="N319" s="5"/>
      <c r="O319" s="3"/>
      <c r="P319" s="3"/>
    </row>
    <row r="320" spans="2:16" hidden="1" outlineLevel="1">
      <c r="B320" s="5" t="s">
        <v>207</v>
      </c>
      <c r="C320" s="5" t="str">
        <f>"Melt Copper Trio Round EU"</f>
        <v>Melt Copper Trio Round EU</v>
      </c>
      <c r="D320" s="42">
        <f>1695</f>
        <v>1695</v>
      </c>
      <c r="E320" s="5" t="s">
        <v>113</v>
      </c>
      <c r="F320" s="5" t="str">
        <f>IF($E320="","","Melt Pendant Copper 50 EU")</f>
        <v>Melt Pendant Copper 50 EU</v>
      </c>
      <c r="G320" s="42">
        <f>IF($E320="","",735)</f>
        <v>735</v>
      </c>
      <c r="H320" s="7">
        <f>1</f>
        <v>1</v>
      </c>
      <c r="I320" s="5"/>
      <c r="J320" s="6"/>
      <c r="K320" s="6"/>
      <c r="L320" s="5"/>
      <c r="M320" s="5"/>
      <c r="N320" s="5"/>
      <c r="O320" s="3"/>
      <c r="P320" s="3"/>
    </row>
    <row r="321" spans="2:16" hidden="1" outlineLevel="1">
      <c r="B321" s="5" t="s">
        <v>207</v>
      </c>
      <c r="C321" s="5" t="str">
        <f>"Melt Copper Trio Round EU"</f>
        <v>Melt Copper Trio Round EU</v>
      </c>
      <c r="D321" s="42">
        <f>1695</f>
        <v>1695</v>
      </c>
      <c r="E321" s="5" t="s">
        <v>118</v>
      </c>
      <c r="F321" s="5" t="str">
        <f>IF($E321="","","Melt Pendant mini Copper EU")</f>
        <v>Melt Pendant mini Copper EU</v>
      </c>
      <c r="G321" s="42">
        <f>IF($E321="","",480)</f>
        <v>480</v>
      </c>
      <c r="H321" s="7">
        <f>2</f>
        <v>2</v>
      </c>
      <c r="I321" s="5"/>
      <c r="J321" s="6"/>
      <c r="K321" s="6"/>
      <c r="L321" s="5"/>
      <c r="M321" s="5"/>
      <c r="N321" s="5"/>
      <c r="O321" s="3"/>
      <c r="P321" s="3"/>
    </row>
    <row r="322" spans="2:16" collapsed="1">
      <c r="B322" s="5" t="s">
        <v>207</v>
      </c>
      <c r="C322" s="5" t="str">
        <f>"Melt Copper Trio Round EU"</f>
        <v>Melt Copper Trio Round EU</v>
      </c>
      <c r="D322" s="42">
        <f>1695</f>
        <v>1695</v>
      </c>
      <c r="E322" s="5"/>
      <c r="F322" s="5"/>
      <c r="G322" s="42"/>
      <c r="H322" s="7"/>
      <c r="I322" s="5"/>
      <c r="J322" s="14"/>
      <c r="K322" s="14"/>
      <c r="L322" s="5"/>
      <c r="M322" s="5"/>
      <c r="N322" s="5"/>
      <c r="O322" s="3"/>
      <c r="P322" s="3"/>
    </row>
    <row r="323" spans="2:16" hidden="1" outlineLevel="1">
      <c r="B323" s="5" t="s">
        <v>208</v>
      </c>
      <c r="C323" s="5" t="str">
        <f>"Melt Gold Large Round EU"</f>
        <v>Melt Gold Large Round EU</v>
      </c>
      <c r="D323" s="42">
        <f>2910</f>
        <v>2910</v>
      </c>
      <c r="E323" s="5" t="s">
        <v>181</v>
      </c>
      <c r="F323" s="5" t="str">
        <f>IF($E323="","","Pendant System")</f>
        <v>Pendant System</v>
      </c>
      <c r="G323" s="42">
        <f>IF($E323="","",0)</f>
        <v>0</v>
      </c>
      <c r="H323" s="7">
        <f>1</f>
        <v>1</v>
      </c>
      <c r="I323" s="5"/>
      <c r="J323" s="6"/>
      <c r="K323" s="6"/>
      <c r="L323" s="5"/>
      <c r="M323" s="5"/>
      <c r="N323" s="5"/>
      <c r="O323" s="3"/>
      <c r="P323" s="3"/>
    </row>
    <row r="324" spans="2:16" hidden="1" outlineLevel="1">
      <c r="B324" s="5" t="s">
        <v>208</v>
      </c>
      <c r="C324" s="5" t="str">
        <f>"Melt Gold Large Round EU"</f>
        <v>Melt Gold Large Round EU</v>
      </c>
      <c r="D324" s="42">
        <f>2910</f>
        <v>2910</v>
      </c>
      <c r="E324" s="5" t="s">
        <v>112</v>
      </c>
      <c r="F324" s="5" t="str">
        <f>IF($E324="","","Melt Pendant Gold 50 EU")</f>
        <v>Melt Pendant Gold 50 EU</v>
      </c>
      <c r="G324" s="42">
        <f>IF($E324="","",735)</f>
        <v>735</v>
      </c>
      <c r="H324" s="7">
        <f>2</f>
        <v>2</v>
      </c>
      <c r="I324" s="5"/>
      <c r="J324" s="6"/>
      <c r="K324" s="6"/>
      <c r="L324" s="5"/>
      <c r="M324" s="5"/>
      <c r="N324" s="5"/>
      <c r="O324" s="3"/>
      <c r="P324" s="3"/>
    </row>
    <row r="325" spans="2:16" hidden="1" outlineLevel="1">
      <c r="B325" s="5" t="s">
        <v>208</v>
      </c>
      <c r="C325" s="5" t="str">
        <f>"Melt Gold Large Round EU"</f>
        <v>Melt Gold Large Round EU</v>
      </c>
      <c r="D325" s="42">
        <f>2910</f>
        <v>2910</v>
      </c>
      <c r="E325" s="5" t="s">
        <v>117</v>
      </c>
      <c r="F325" s="5" t="str">
        <f>IF($E325="","","Melt Pendant mini Gold  EU")</f>
        <v>Melt Pendant mini Gold  EU</v>
      </c>
      <c r="G325" s="42">
        <f>IF($E325="","",480)</f>
        <v>480</v>
      </c>
      <c r="H325" s="7">
        <f>3</f>
        <v>3</v>
      </c>
      <c r="I325" s="5"/>
      <c r="J325" s="6"/>
      <c r="K325" s="6"/>
      <c r="L325" s="5"/>
      <c r="M325" s="5"/>
      <c r="N325" s="5"/>
      <c r="O325" s="3"/>
      <c r="P325" s="3"/>
    </row>
    <row r="326" spans="2:16" collapsed="1">
      <c r="B326" s="5" t="s">
        <v>208</v>
      </c>
      <c r="C326" s="5" t="str">
        <f>"Melt Gold Large Round EU"</f>
        <v>Melt Gold Large Round EU</v>
      </c>
      <c r="D326" s="42">
        <f>2910</f>
        <v>2910</v>
      </c>
      <c r="E326" s="5"/>
      <c r="F326" s="5"/>
      <c r="G326" s="42"/>
      <c r="H326" s="7"/>
      <c r="I326" s="5"/>
      <c r="J326" s="14"/>
      <c r="K326" s="14"/>
      <c r="L326" s="5"/>
      <c r="M326" s="5"/>
      <c r="N326" s="5"/>
      <c r="O326" s="3"/>
      <c r="P326" s="3"/>
    </row>
    <row r="327" spans="2:16" hidden="1" outlineLevel="1">
      <c r="B327" s="5" t="s">
        <v>209</v>
      </c>
      <c r="C327" s="5" t="str">
        <f>"Melt Gold Mini Round EU"</f>
        <v>Melt Gold Mini Round EU</v>
      </c>
      <c r="D327" s="42">
        <f>2400</f>
        <v>2400</v>
      </c>
      <c r="E327" s="5" t="s">
        <v>181</v>
      </c>
      <c r="F327" s="5" t="str">
        <f>IF($E327="","","Pendant System")</f>
        <v>Pendant System</v>
      </c>
      <c r="G327" s="42">
        <f>IF($E327="","",0)</f>
        <v>0</v>
      </c>
      <c r="H327" s="7">
        <f>1</f>
        <v>1</v>
      </c>
      <c r="I327" s="5"/>
      <c r="J327" s="6"/>
      <c r="K327" s="6"/>
      <c r="L327" s="5"/>
      <c r="M327" s="5"/>
      <c r="N327" s="5"/>
      <c r="O327" s="3"/>
      <c r="P327" s="3"/>
    </row>
    <row r="328" spans="2:16" hidden="1" outlineLevel="1">
      <c r="B328" s="5" t="s">
        <v>209</v>
      </c>
      <c r="C328" s="5" t="str">
        <f>"Melt Gold Mini Round EU"</f>
        <v>Melt Gold Mini Round EU</v>
      </c>
      <c r="D328" s="42">
        <f>2400</f>
        <v>2400</v>
      </c>
      <c r="E328" s="5" t="s">
        <v>117</v>
      </c>
      <c r="F328" s="5" t="str">
        <f>IF($E328="","","Melt Pendant mini Gold  EU")</f>
        <v>Melt Pendant mini Gold  EU</v>
      </c>
      <c r="G328" s="42">
        <f>IF($E328="","",480)</f>
        <v>480</v>
      </c>
      <c r="H328" s="7">
        <f>5</f>
        <v>5</v>
      </c>
      <c r="I328" s="5"/>
      <c r="J328" s="6"/>
      <c r="K328" s="6"/>
      <c r="L328" s="5"/>
      <c r="M328" s="5"/>
      <c r="N328" s="5"/>
      <c r="O328" s="3"/>
      <c r="P328" s="3"/>
    </row>
    <row r="329" spans="2:16" collapsed="1">
      <c r="B329" s="5" t="s">
        <v>209</v>
      </c>
      <c r="C329" s="5" t="str">
        <f>"Melt Gold Mini Round EU"</f>
        <v>Melt Gold Mini Round EU</v>
      </c>
      <c r="D329" s="42">
        <f>2400</f>
        <v>2400</v>
      </c>
      <c r="E329" s="5"/>
      <c r="F329" s="5"/>
      <c r="G329" s="42"/>
      <c r="H329" s="7"/>
      <c r="I329" s="5"/>
      <c r="J329" s="14"/>
      <c r="K329" s="14"/>
      <c r="L329" s="5"/>
      <c r="M329" s="5"/>
      <c r="N329" s="5"/>
      <c r="O329" s="3"/>
      <c r="P329" s="3"/>
    </row>
    <row r="330" spans="2:16" hidden="1" outlineLevel="1">
      <c r="B330" s="5" t="s">
        <v>210</v>
      </c>
      <c r="C330" s="5" t="str">
        <f>"Melt Gold Trio Round EU"</f>
        <v>Melt Gold Trio Round EU</v>
      </c>
      <c r="D330" s="42">
        <f>1695</f>
        <v>1695</v>
      </c>
      <c r="E330" s="5" t="s">
        <v>181</v>
      </c>
      <c r="F330" s="5" t="str">
        <f>IF($E330="","","Pendant System")</f>
        <v>Pendant System</v>
      </c>
      <c r="G330" s="42">
        <f>IF($E330="","",0)</f>
        <v>0</v>
      </c>
      <c r="H330" s="7">
        <f>1</f>
        <v>1</v>
      </c>
      <c r="I330" s="5"/>
      <c r="J330" s="6"/>
      <c r="K330" s="6"/>
      <c r="L330" s="5"/>
      <c r="M330" s="5"/>
      <c r="N330" s="5"/>
      <c r="O330" s="3"/>
      <c r="P330" s="3"/>
    </row>
    <row r="331" spans="2:16" hidden="1" outlineLevel="1">
      <c r="B331" s="5" t="s">
        <v>210</v>
      </c>
      <c r="C331" s="5" t="str">
        <f>"Melt Gold Trio Round EU"</f>
        <v>Melt Gold Trio Round EU</v>
      </c>
      <c r="D331" s="42">
        <f>1695</f>
        <v>1695</v>
      </c>
      <c r="E331" s="5" t="s">
        <v>112</v>
      </c>
      <c r="F331" s="5" t="str">
        <f>IF($E331="","","Melt Pendant Gold 50 EU")</f>
        <v>Melt Pendant Gold 50 EU</v>
      </c>
      <c r="G331" s="42">
        <f>IF($E331="","",735)</f>
        <v>735</v>
      </c>
      <c r="H331" s="7">
        <f>1</f>
        <v>1</v>
      </c>
      <c r="I331" s="5"/>
      <c r="J331" s="6"/>
      <c r="K331" s="6"/>
      <c r="L331" s="5"/>
      <c r="M331" s="5"/>
      <c r="N331" s="5"/>
      <c r="O331" s="3"/>
      <c r="P331" s="3"/>
    </row>
    <row r="332" spans="2:16" hidden="1" outlineLevel="1">
      <c r="B332" s="5" t="s">
        <v>210</v>
      </c>
      <c r="C332" s="5" t="str">
        <f>"Melt Gold Trio Round EU"</f>
        <v>Melt Gold Trio Round EU</v>
      </c>
      <c r="D332" s="42">
        <f>1695</f>
        <v>1695</v>
      </c>
      <c r="E332" s="5" t="s">
        <v>117</v>
      </c>
      <c r="F332" s="5" t="str">
        <f>IF($E332="","","Melt Pendant mini Gold  EU")</f>
        <v>Melt Pendant mini Gold  EU</v>
      </c>
      <c r="G332" s="42">
        <f>IF($E332="","",480)</f>
        <v>480</v>
      </c>
      <c r="H332" s="7">
        <f>2</f>
        <v>2</v>
      </c>
      <c r="I332" s="5"/>
      <c r="J332" s="6"/>
      <c r="K332" s="6"/>
      <c r="L332" s="5"/>
      <c r="M332" s="5"/>
      <c r="N332" s="5"/>
      <c r="O332" s="3"/>
      <c r="P332" s="3"/>
    </row>
    <row r="333" spans="2:16" collapsed="1">
      <c r="B333" s="5" t="s">
        <v>210</v>
      </c>
      <c r="C333" s="5" t="str">
        <f>"Melt Gold Trio Round EU"</f>
        <v>Melt Gold Trio Round EU</v>
      </c>
      <c r="D333" s="42">
        <f>1695</f>
        <v>1695</v>
      </c>
      <c r="E333" s="5"/>
      <c r="F333" s="5"/>
      <c r="G333" s="42"/>
      <c r="H333" s="7"/>
      <c r="I333" s="5"/>
      <c r="J333" s="14"/>
      <c r="K333" s="14"/>
      <c r="L333" s="5"/>
      <c r="M333" s="5"/>
      <c r="N333" s="5"/>
      <c r="O333" s="3"/>
      <c r="P333" s="3"/>
    </row>
    <row r="334" spans="2:16" hidden="1" outlineLevel="1">
      <c r="B334" s="5" t="s">
        <v>211</v>
      </c>
      <c r="C334" s="5" t="str">
        <f>"Melt Smoke Large Round PS EU"</f>
        <v>Melt Smoke Large Round PS EU</v>
      </c>
      <c r="D334" s="42">
        <f>2910</f>
        <v>2910</v>
      </c>
      <c r="E334" s="5" t="s">
        <v>181</v>
      </c>
      <c r="F334" s="5" t="str">
        <f>IF($E334="","","Pendant System")</f>
        <v>Pendant System</v>
      </c>
      <c r="G334" s="42">
        <f>IF($E334="","",0)</f>
        <v>0</v>
      </c>
      <c r="H334" s="7">
        <f>1</f>
        <v>1</v>
      </c>
      <c r="I334" s="5"/>
      <c r="J334" s="6"/>
      <c r="K334" s="6"/>
      <c r="L334" s="5"/>
      <c r="M334" s="5"/>
      <c r="N334" s="5"/>
      <c r="O334" s="3"/>
      <c r="P334" s="3"/>
    </row>
    <row r="335" spans="2:16" hidden="1" outlineLevel="1">
      <c r="B335" s="5" t="s">
        <v>211</v>
      </c>
      <c r="C335" s="5" t="str">
        <f>"Melt Smoke Large Round PS EU"</f>
        <v>Melt Smoke Large Round PS EU</v>
      </c>
      <c r="D335" s="42">
        <f>2910</f>
        <v>2910</v>
      </c>
      <c r="E335" s="5" t="s">
        <v>114</v>
      </c>
      <c r="F335" s="5" t="str">
        <f>IF($E335="","","Melt Pendant Smoke EU")</f>
        <v>Melt Pendant Smoke EU</v>
      </c>
      <c r="G335" s="42">
        <f>IF($E335="","",735)</f>
        <v>735</v>
      </c>
      <c r="H335" s="7">
        <f>2</f>
        <v>2</v>
      </c>
      <c r="I335" s="5"/>
      <c r="J335" s="6"/>
      <c r="K335" s="6"/>
      <c r="L335" s="5"/>
      <c r="M335" s="5"/>
      <c r="N335" s="5"/>
      <c r="O335" s="3"/>
      <c r="P335" s="3"/>
    </row>
    <row r="336" spans="2:16" hidden="1" outlineLevel="1">
      <c r="B336" s="5" t="s">
        <v>211</v>
      </c>
      <c r="C336" s="5" t="str">
        <f>"Melt Smoke Large Round PS EU"</f>
        <v>Melt Smoke Large Round PS EU</v>
      </c>
      <c r="D336" s="42">
        <f>2910</f>
        <v>2910</v>
      </c>
      <c r="E336" s="5" t="s">
        <v>119</v>
      </c>
      <c r="F336" s="5" t="str">
        <f>IF($E336="","","Melt Pendant mini Smoke EU")</f>
        <v>Melt Pendant mini Smoke EU</v>
      </c>
      <c r="G336" s="42">
        <f>IF($E336="","",480)</f>
        <v>480</v>
      </c>
      <c r="H336" s="7">
        <f>3</f>
        <v>3</v>
      </c>
      <c r="I336" s="5"/>
      <c r="J336" s="6"/>
      <c r="K336" s="6"/>
      <c r="L336" s="5"/>
      <c r="M336" s="5"/>
      <c r="N336" s="5"/>
      <c r="O336" s="3"/>
      <c r="P336" s="3"/>
    </row>
    <row r="337" spans="2:16" collapsed="1">
      <c r="B337" s="5" t="s">
        <v>211</v>
      </c>
      <c r="C337" s="5" t="str">
        <f>"Melt Smoke Large Round PS EU"</f>
        <v>Melt Smoke Large Round PS EU</v>
      </c>
      <c r="D337" s="42">
        <f>2910</f>
        <v>2910</v>
      </c>
      <c r="E337" s="5"/>
      <c r="F337" s="5"/>
      <c r="G337" s="42"/>
      <c r="H337" s="7"/>
      <c r="I337" s="5"/>
      <c r="J337" s="14"/>
      <c r="K337" s="14"/>
      <c r="L337" s="5"/>
      <c r="M337" s="5"/>
      <c r="N337" s="5"/>
      <c r="O337" s="3"/>
      <c r="P337" s="3"/>
    </row>
    <row r="338" spans="2:16" hidden="1" outlineLevel="1">
      <c r="B338" s="5" t="s">
        <v>212</v>
      </c>
      <c r="C338" s="5" t="str">
        <f>"Melt Smoke Mini Round PS EU"</f>
        <v>Melt Smoke Mini Round PS EU</v>
      </c>
      <c r="D338" s="42">
        <f>2400</f>
        <v>2400</v>
      </c>
      <c r="E338" s="5" t="s">
        <v>181</v>
      </c>
      <c r="F338" s="5" t="str">
        <f>IF($E338="","","Pendant System")</f>
        <v>Pendant System</v>
      </c>
      <c r="G338" s="42">
        <f>IF($E338="","",0)</f>
        <v>0</v>
      </c>
      <c r="H338" s="7">
        <v>1</v>
      </c>
      <c r="I338" s="5"/>
      <c r="J338" s="6"/>
      <c r="K338" s="6"/>
      <c r="L338" s="5"/>
      <c r="M338" s="5"/>
      <c r="N338" s="5"/>
      <c r="O338" s="3"/>
      <c r="P338" s="3"/>
    </row>
    <row r="339" spans="2:16" hidden="1" outlineLevel="1">
      <c r="B339" s="5" t="s">
        <v>212</v>
      </c>
      <c r="C339" s="5" t="str">
        <f>"Melt Smoke Mini Round PS EU"</f>
        <v>Melt Smoke Mini Round PS EU</v>
      </c>
      <c r="D339" s="42">
        <f>2400</f>
        <v>2400</v>
      </c>
      <c r="E339" s="5" t="s">
        <v>119</v>
      </c>
      <c r="F339" s="5" t="str">
        <f>IF($E339="","","Melt Pendant mini Smoke EU")</f>
        <v>Melt Pendant mini Smoke EU</v>
      </c>
      <c r="G339" s="42">
        <f>IF($E339="","",480)</f>
        <v>480</v>
      </c>
      <c r="H339" s="7">
        <f>5</f>
        <v>5</v>
      </c>
      <c r="I339" s="5"/>
      <c r="J339" s="6"/>
      <c r="K339" s="6"/>
      <c r="L339" s="5"/>
      <c r="M339" s="5"/>
      <c r="N339" s="5"/>
      <c r="O339" s="3"/>
      <c r="P339" s="3"/>
    </row>
    <row r="340" spans="2:16" collapsed="1">
      <c r="B340" s="5" t="s">
        <v>212</v>
      </c>
      <c r="C340" s="5" t="str">
        <f>"Melt Smoke Mini Round PS EU"</f>
        <v>Melt Smoke Mini Round PS EU</v>
      </c>
      <c r="D340" s="42">
        <f>2400</f>
        <v>2400</v>
      </c>
      <c r="E340" s="5"/>
      <c r="F340" s="5"/>
      <c r="G340" s="42"/>
      <c r="H340" s="7"/>
      <c r="I340" s="5"/>
      <c r="J340" s="14"/>
      <c r="K340" s="14"/>
      <c r="L340" s="5"/>
      <c r="M340" s="5"/>
      <c r="N340" s="5"/>
      <c r="O340" s="3"/>
      <c r="P340" s="3"/>
    </row>
    <row r="341" spans="2:16" hidden="1" outlineLevel="1">
      <c r="B341" s="5" t="s">
        <v>213</v>
      </c>
      <c r="C341" s="5" t="str">
        <f>"Melt Smoke Trio Round PS EU"</f>
        <v>Melt Smoke Trio Round PS EU</v>
      </c>
      <c r="D341" s="42">
        <f>1695</f>
        <v>1695</v>
      </c>
      <c r="E341" s="5" t="s">
        <v>181</v>
      </c>
      <c r="F341" s="5" t="str">
        <f>IF($E341="","","Pendant System")</f>
        <v>Pendant System</v>
      </c>
      <c r="G341" s="42">
        <f>IF($E341="","",0)</f>
        <v>0</v>
      </c>
      <c r="H341" s="7">
        <f>1</f>
        <v>1</v>
      </c>
      <c r="I341" s="5"/>
      <c r="J341" s="6"/>
      <c r="K341" s="6"/>
      <c r="L341" s="5"/>
      <c r="M341" s="5"/>
      <c r="N341" s="5"/>
      <c r="O341" s="3"/>
      <c r="P341" s="3"/>
    </row>
    <row r="342" spans="2:16" hidden="1" outlineLevel="1">
      <c r="B342" s="5" t="s">
        <v>213</v>
      </c>
      <c r="C342" s="5" t="str">
        <f>"Melt Smoke Trio Round PS EU"</f>
        <v>Melt Smoke Trio Round PS EU</v>
      </c>
      <c r="D342" s="42">
        <f>1695</f>
        <v>1695</v>
      </c>
      <c r="E342" s="5" t="s">
        <v>114</v>
      </c>
      <c r="F342" s="5" t="str">
        <f>IF($E342="","","Melt Pendant Smoke EU")</f>
        <v>Melt Pendant Smoke EU</v>
      </c>
      <c r="G342" s="42">
        <f>IF($E342="","",735)</f>
        <v>735</v>
      </c>
      <c r="H342" s="7">
        <f>1</f>
        <v>1</v>
      </c>
      <c r="I342" s="5"/>
      <c r="J342" s="6"/>
      <c r="K342" s="6"/>
      <c r="L342" s="5"/>
      <c r="M342" s="5"/>
      <c r="N342" s="5"/>
      <c r="O342" s="3"/>
      <c r="P342" s="3"/>
    </row>
    <row r="343" spans="2:16" hidden="1" outlineLevel="1">
      <c r="B343" s="5" t="s">
        <v>213</v>
      </c>
      <c r="C343" s="5" t="str">
        <f>"Melt Smoke Trio Round PS EU"</f>
        <v>Melt Smoke Trio Round PS EU</v>
      </c>
      <c r="D343" s="42">
        <f>1695</f>
        <v>1695</v>
      </c>
      <c r="E343" s="5" t="s">
        <v>119</v>
      </c>
      <c r="F343" s="5" t="str">
        <f>IF($E343="","","Melt Pendant mini Smoke EU")</f>
        <v>Melt Pendant mini Smoke EU</v>
      </c>
      <c r="G343" s="42">
        <f>IF($E343="","",480)</f>
        <v>480</v>
      </c>
      <c r="H343" s="7">
        <f>2</f>
        <v>2</v>
      </c>
      <c r="I343" s="5"/>
      <c r="J343" s="6"/>
      <c r="K343" s="6"/>
      <c r="L343" s="5"/>
      <c r="M343" s="5"/>
      <c r="N343" s="5"/>
      <c r="O343" s="3"/>
      <c r="P343" s="3"/>
    </row>
    <row r="344" spans="2:16" collapsed="1">
      <c r="B344" s="5" t="s">
        <v>213</v>
      </c>
      <c r="C344" s="5" t="str">
        <f>"Melt Smoke Trio Round PS EU"</f>
        <v>Melt Smoke Trio Round PS EU</v>
      </c>
      <c r="D344" s="42">
        <f>1695</f>
        <v>1695</v>
      </c>
      <c r="E344" s="5"/>
      <c r="F344" s="5"/>
      <c r="G344" s="42"/>
      <c r="H344" s="7"/>
      <c r="I344" s="5"/>
      <c r="J344" s="14"/>
      <c r="K344" s="14"/>
      <c r="L344" s="5"/>
      <c r="M344" s="5"/>
      <c r="N344" s="5"/>
      <c r="O344" s="3"/>
      <c r="P344" s="3"/>
    </row>
    <row r="345" spans="2:16" hidden="1" outlineLevel="1">
      <c r="B345" s="5" t="s">
        <v>214</v>
      </c>
      <c r="C345" s="5" t="str">
        <f>"Beat Black Mega PS EU"</f>
        <v>Beat Black Mega PS EU</v>
      </c>
      <c r="D345" s="42">
        <f>9190</f>
        <v>9190</v>
      </c>
      <c r="E345" s="5" t="s">
        <v>28</v>
      </c>
      <c r="F345" s="5" t="str">
        <f>IF($E345="","","Beat Fat Black Pendant EU")</f>
        <v>Beat Fat Black Pendant EU</v>
      </c>
      <c r="G345" s="42">
        <f>IF($E345="","",360)</f>
        <v>360</v>
      </c>
      <c r="H345" s="7">
        <f>9</f>
        <v>9</v>
      </c>
      <c r="I345" s="5"/>
      <c r="J345" s="6"/>
      <c r="K345" s="6"/>
      <c r="L345" s="5"/>
      <c r="M345" s="5"/>
      <c r="N345" s="5"/>
      <c r="O345" s="3"/>
      <c r="P345" s="3"/>
    </row>
    <row r="346" spans="2:16" hidden="1" outlineLevel="1">
      <c r="B346" s="5" t="s">
        <v>214</v>
      </c>
      <c r="C346" s="5" t="str">
        <f>"Beat Black Mega PS EU"</f>
        <v>Beat Black Mega PS EU</v>
      </c>
      <c r="D346" s="42">
        <f>9190</f>
        <v>9190</v>
      </c>
      <c r="E346" s="5" t="s">
        <v>63</v>
      </c>
      <c r="F346" s="5" t="str">
        <f>IF($E346="","","Beat Waist Black Pendant EU")</f>
        <v>Beat Waist Black Pendant EU</v>
      </c>
      <c r="G346" s="42">
        <f>IF($E346="","",460)</f>
        <v>460</v>
      </c>
      <c r="H346" s="7">
        <f>9</f>
        <v>9</v>
      </c>
      <c r="I346" s="5"/>
      <c r="J346" s="6"/>
      <c r="K346" s="6"/>
      <c r="L346" s="5"/>
      <c r="M346" s="5"/>
      <c r="N346" s="5"/>
      <c r="O346" s="3"/>
      <c r="P346" s="3"/>
    </row>
    <row r="347" spans="2:16" hidden="1" outlineLevel="1">
      <c r="B347" s="5" t="s">
        <v>214</v>
      </c>
      <c r="C347" s="5" t="str">
        <f>"Beat Black Mega PS EU"</f>
        <v>Beat Black Mega PS EU</v>
      </c>
      <c r="D347" s="42">
        <f>9190</f>
        <v>9190</v>
      </c>
      <c r="E347" s="5" t="s">
        <v>61</v>
      </c>
      <c r="F347" s="5" t="str">
        <f>IF($E347="","","Beat Flat Black Pendant EU")</f>
        <v>Beat Flat Black Pendant EU</v>
      </c>
      <c r="G347" s="42">
        <f>IF($E347="","",460)</f>
        <v>460</v>
      </c>
      <c r="H347" s="7">
        <f>1</f>
        <v>1</v>
      </c>
      <c r="I347" s="5"/>
      <c r="J347" s="6"/>
      <c r="K347" s="6"/>
      <c r="L347" s="5"/>
      <c r="M347" s="5"/>
      <c r="N347" s="5"/>
      <c r="O347" s="3"/>
      <c r="P347" s="3"/>
    </row>
    <row r="348" spans="2:16" hidden="1" outlineLevel="1">
      <c r="B348" s="5" t="s">
        <v>214</v>
      </c>
      <c r="C348" s="5" t="str">
        <f>"Beat Black Mega PS EU"</f>
        <v>Beat Black Mega PS EU</v>
      </c>
      <c r="D348" s="42">
        <f>9190</f>
        <v>9190</v>
      </c>
      <c r="E348" s="5" t="s">
        <v>196</v>
      </c>
      <c r="F348" s="5" t="str">
        <f>IF($E348="","","Mega Pendant System Round EU")</f>
        <v>Mega Pendant System Round EU</v>
      </c>
      <c r="G348" s="42">
        <f>IF($E348="","",1350)</f>
        <v>1350</v>
      </c>
      <c r="H348" s="7">
        <f>1</f>
        <v>1</v>
      </c>
      <c r="I348" s="5"/>
      <c r="J348" s="6"/>
      <c r="K348" s="6"/>
      <c r="L348" s="5"/>
      <c r="M348" s="5"/>
      <c r="N348" s="5"/>
      <c r="O348" s="3"/>
      <c r="P348" s="3"/>
    </row>
    <row r="349" spans="2:16" collapsed="1">
      <c r="B349" s="5" t="s">
        <v>214</v>
      </c>
      <c r="C349" s="5" t="str">
        <f>"Beat Black Mega PS EU"</f>
        <v>Beat Black Mega PS EU</v>
      </c>
      <c r="D349" s="42">
        <f>9190</f>
        <v>9190</v>
      </c>
      <c r="E349" s="5"/>
      <c r="F349" s="5"/>
      <c r="G349" s="42"/>
      <c r="H349" s="7"/>
      <c r="I349" s="5"/>
      <c r="J349" s="14"/>
      <c r="K349" s="14"/>
      <c r="L349" s="5"/>
      <c r="M349" s="5"/>
      <c r="N349" s="5"/>
      <c r="O349" s="3"/>
      <c r="P349" s="3"/>
    </row>
    <row r="350" spans="2:16" hidden="1" outlineLevel="1">
      <c r="B350" s="5" t="s">
        <v>215</v>
      </c>
      <c r="C350" s="5" t="str">
        <f>"Cut Chrome Mega PS EU"</f>
        <v>Cut Chrome Mega PS EU</v>
      </c>
      <c r="D350" s="42">
        <f>9550</f>
        <v>9550</v>
      </c>
      <c r="E350" s="5" t="s">
        <v>91</v>
      </c>
      <c r="F350" s="5" t="str">
        <f>IF($E350="","","Cut Short Chrome Pendant EU")</f>
        <v>Cut Short Chrome Pendant EU</v>
      </c>
      <c r="G350" s="42">
        <f>IF($E350="","",600)</f>
        <v>600</v>
      </c>
      <c r="H350" s="7">
        <f>8</f>
        <v>8</v>
      </c>
      <c r="I350" s="5"/>
      <c r="J350" s="6"/>
      <c r="K350" s="6"/>
      <c r="L350" s="5"/>
      <c r="M350" s="5"/>
      <c r="N350" s="5"/>
      <c r="O350" s="3"/>
      <c r="P350" s="3"/>
    </row>
    <row r="351" spans="2:16" hidden="1" outlineLevel="1">
      <c r="B351" s="5" t="s">
        <v>215</v>
      </c>
      <c r="C351" s="5" t="str">
        <f>"Cut Chrome Mega PS EU"</f>
        <v>Cut Chrome Mega PS EU</v>
      </c>
      <c r="D351" s="42">
        <f>9550</f>
        <v>9550</v>
      </c>
      <c r="E351" s="5" t="s">
        <v>92</v>
      </c>
      <c r="F351" s="5" t="str">
        <f>IF($E351="","","Cut Tall Chrome Pendant EU")</f>
        <v>Cut Tall Chrome Pendant EU</v>
      </c>
      <c r="G351" s="42">
        <f>IF($E351="","",680)</f>
        <v>680</v>
      </c>
      <c r="H351" s="7">
        <f>5</f>
        <v>5</v>
      </c>
      <c r="I351" s="5"/>
      <c r="J351" s="6"/>
      <c r="K351" s="6"/>
      <c r="L351" s="5"/>
      <c r="M351" s="5"/>
      <c r="N351" s="5"/>
      <c r="O351" s="3"/>
      <c r="P351" s="3"/>
    </row>
    <row r="352" spans="2:16" hidden="1" outlineLevel="1">
      <c r="B352" s="5" t="s">
        <v>215</v>
      </c>
      <c r="C352" s="5" t="str">
        <f>"Cut Chrome Mega PS EU"</f>
        <v>Cut Chrome Mega PS EU</v>
      </c>
      <c r="D352" s="42">
        <f>9550</f>
        <v>9550</v>
      </c>
      <c r="E352" s="5" t="s">
        <v>196</v>
      </c>
      <c r="F352" s="5" t="str">
        <f>IF($E352="","","Mega Pendant System Round EU")</f>
        <v>Mega Pendant System Round EU</v>
      </c>
      <c r="G352" s="42">
        <f>IF($E352="","",1350)</f>
        <v>1350</v>
      </c>
      <c r="H352" s="7">
        <f>1</f>
        <v>1</v>
      </c>
      <c r="I352" s="5"/>
      <c r="J352" s="6"/>
      <c r="K352" s="6"/>
      <c r="L352" s="5"/>
      <c r="M352" s="5"/>
      <c r="N352" s="5"/>
      <c r="O352" s="3"/>
      <c r="P352" s="3"/>
    </row>
    <row r="353" spans="2:16" collapsed="1">
      <c r="B353" s="5" t="s">
        <v>215</v>
      </c>
      <c r="C353" s="5" t="str">
        <f>"Cut Chrome Mega PS EU"</f>
        <v>Cut Chrome Mega PS EU</v>
      </c>
      <c r="D353" s="42">
        <f>9550</f>
        <v>9550</v>
      </c>
      <c r="E353" s="5"/>
      <c r="F353" s="5"/>
      <c r="G353" s="42"/>
      <c r="H353" s="7"/>
      <c r="I353" s="5"/>
      <c r="J353" s="14"/>
      <c r="K353" s="14"/>
      <c r="L353" s="5"/>
      <c r="M353" s="5"/>
      <c r="N353" s="5"/>
      <c r="O353" s="3"/>
      <c r="P353" s="3"/>
    </row>
    <row r="354" spans="2:16" hidden="1" outlineLevel="1">
      <c r="B354" s="5" t="s">
        <v>216</v>
      </c>
      <c r="C354" s="5" t="str">
        <f>"Melt Chrome Mega PS EU"</f>
        <v>Melt Chrome Mega PS EU</v>
      </c>
      <c r="D354" s="42">
        <f>8160</f>
        <v>8160</v>
      </c>
      <c r="E354" s="5" t="s">
        <v>196</v>
      </c>
      <c r="F354" s="5" t="str">
        <f>IF($E354="","","Mega Pendant System Round EU")</f>
        <v>Mega Pendant System Round EU</v>
      </c>
      <c r="G354" s="42">
        <f>IF($E354="","",1350)</f>
        <v>1350</v>
      </c>
      <c r="H354" s="7">
        <f>1</f>
        <v>1</v>
      </c>
      <c r="I354" s="5"/>
      <c r="J354" s="6"/>
      <c r="K354" s="6"/>
      <c r="L354" s="5"/>
      <c r="M354" s="5"/>
      <c r="N354" s="5"/>
      <c r="O354" s="3"/>
      <c r="P354" s="3"/>
    </row>
    <row r="355" spans="2:16" hidden="1" outlineLevel="1">
      <c r="B355" s="5" t="s">
        <v>216</v>
      </c>
      <c r="C355" s="5" t="str">
        <f>"Melt Chrome Mega PS EU"</f>
        <v>Melt Chrome Mega PS EU</v>
      </c>
      <c r="D355" s="42">
        <f>8160</f>
        <v>8160</v>
      </c>
      <c r="E355" s="5" t="s">
        <v>111</v>
      </c>
      <c r="F355" s="5" t="str">
        <f>IF($E355="","","Melt Pendant Chrome 50 EU")</f>
        <v>Melt Pendant Chrome 50 EU</v>
      </c>
      <c r="G355" s="42">
        <f>IF($E355="","",735)</f>
        <v>735</v>
      </c>
      <c r="H355" s="7">
        <f>6</f>
        <v>6</v>
      </c>
      <c r="I355" s="5"/>
      <c r="J355" s="6"/>
      <c r="K355" s="6"/>
      <c r="L355" s="5"/>
      <c r="M355" s="5"/>
      <c r="N355" s="5"/>
      <c r="O355" s="3"/>
      <c r="P355" s="3"/>
    </row>
    <row r="356" spans="2:16" hidden="1" outlineLevel="1">
      <c r="B356" s="5" t="s">
        <v>216</v>
      </c>
      <c r="C356" s="5" t="str">
        <f>"Melt Chrome Mega PS EU"</f>
        <v>Melt Chrome Mega PS EU</v>
      </c>
      <c r="D356" s="42">
        <f>8160</f>
        <v>8160</v>
      </c>
      <c r="E356" s="5" t="s">
        <v>116</v>
      </c>
      <c r="F356" s="5" t="str">
        <f>IF($E356="","","Melt Pendant mini Chrome EU")</f>
        <v>Melt Pendant mini Chrome EU</v>
      </c>
      <c r="G356" s="42">
        <f>IF($E356="","",480)</f>
        <v>480</v>
      </c>
      <c r="H356" s="7">
        <f>5</f>
        <v>5</v>
      </c>
      <c r="I356" s="5"/>
      <c r="J356" s="6"/>
      <c r="K356" s="6"/>
      <c r="L356" s="5"/>
      <c r="M356" s="5"/>
      <c r="N356" s="5"/>
      <c r="O356" s="3"/>
      <c r="P356" s="3"/>
    </row>
    <row r="357" spans="2:16" collapsed="1">
      <c r="B357" s="5" t="s">
        <v>216</v>
      </c>
      <c r="C357" s="5" t="str">
        <f>"Melt Chrome Mega PS EU"</f>
        <v>Melt Chrome Mega PS EU</v>
      </c>
      <c r="D357" s="42">
        <f>8160</f>
        <v>8160</v>
      </c>
      <c r="E357" s="5"/>
      <c r="F357" s="5"/>
      <c r="G357" s="42"/>
      <c r="H357" s="7"/>
      <c r="I357" s="5"/>
      <c r="J357" s="14"/>
      <c r="K357" s="14"/>
      <c r="L357" s="5"/>
      <c r="M357" s="5"/>
      <c r="N357" s="5"/>
      <c r="O357" s="3"/>
      <c r="P357" s="3"/>
    </row>
    <row r="358" spans="2:16" hidden="1" outlineLevel="1">
      <c r="B358" s="5" t="s">
        <v>217</v>
      </c>
      <c r="C358" s="5" t="str">
        <f>"Melt Copper Mega PS EU"</f>
        <v>Melt Copper Mega PS EU</v>
      </c>
      <c r="D358" s="42">
        <f>8160</f>
        <v>8160</v>
      </c>
      <c r="E358" s="5" t="s">
        <v>196</v>
      </c>
      <c r="F358" s="5" t="str">
        <f>IF($E358="","","Mega Pendant System Round EU")</f>
        <v>Mega Pendant System Round EU</v>
      </c>
      <c r="G358" s="42">
        <f>IF($E358="","",1350)</f>
        <v>1350</v>
      </c>
      <c r="H358" s="7">
        <f>1</f>
        <v>1</v>
      </c>
      <c r="I358" s="5"/>
      <c r="J358" s="6"/>
      <c r="K358" s="6"/>
      <c r="L358" s="5"/>
      <c r="M358" s="5"/>
      <c r="N358" s="5"/>
      <c r="O358" s="3"/>
      <c r="P358" s="3"/>
    </row>
    <row r="359" spans="2:16" hidden="1" outlineLevel="1">
      <c r="B359" s="5" t="s">
        <v>217</v>
      </c>
      <c r="C359" s="5" t="str">
        <f>"Melt Copper Mega PS EU"</f>
        <v>Melt Copper Mega PS EU</v>
      </c>
      <c r="D359" s="42">
        <f>8160</f>
        <v>8160</v>
      </c>
      <c r="E359" s="5" t="s">
        <v>113</v>
      </c>
      <c r="F359" s="5" t="str">
        <f>IF($E359="","","Melt Pendant Copper 50 EU")</f>
        <v>Melt Pendant Copper 50 EU</v>
      </c>
      <c r="G359" s="42">
        <f>IF($E359="","",735)</f>
        <v>735</v>
      </c>
      <c r="H359" s="7">
        <f>6</f>
        <v>6</v>
      </c>
      <c r="I359" s="5"/>
      <c r="J359" s="6"/>
      <c r="K359" s="6"/>
      <c r="L359" s="5"/>
      <c r="M359" s="5"/>
      <c r="N359" s="5"/>
      <c r="O359" s="3"/>
      <c r="P359" s="3"/>
    </row>
    <row r="360" spans="2:16" hidden="1" outlineLevel="1">
      <c r="B360" s="5" t="s">
        <v>217</v>
      </c>
      <c r="C360" s="5" t="str">
        <f>"Melt Copper Mega PS EU"</f>
        <v>Melt Copper Mega PS EU</v>
      </c>
      <c r="D360" s="42">
        <f>8160</f>
        <v>8160</v>
      </c>
      <c r="E360" s="5" t="s">
        <v>118</v>
      </c>
      <c r="F360" s="5" t="str">
        <f>IF($E360="","","Melt Pendant mini Copper EU")</f>
        <v>Melt Pendant mini Copper EU</v>
      </c>
      <c r="G360" s="42">
        <f>IF($E360="","",480)</f>
        <v>480</v>
      </c>
      <c r="H360" s="7">
        <f>5</f>
        <v>5</v>
      </c>
      <c r="I360" s="5"/>
      <c r="J360" s="6"/>
      <c r="K360" s="6"/>
      <c r="L360" s="5"/>
      <c r="M360" s="5"/>
      <c r="N360" s="5"/>
      <c r="O360" s="3"/>
      <c r="P360" s="3"/>
    </row>
    <row r="361" spans="2:16" collapsed="1">
      <c r="B361" s="5" t="s">
        <v>217</v>
      </c>
      <c r="C361" s="5" t="str">
        <f>"Melt Copper Mega PS EU"</f>
        <v>Melt Copper Mega PS EU</v>
      </c>
      <c r="D361" s="42">
        <f>8160</f>
        <v>8160</v>
      </c>
      <c r="E361" s="5"/>
      <c r="F361" s="5"/>
      <c r="G361" s="42"/>
      <c r="H361" s="7"/>
      <c r="I361" s="5"/>
      <c r="J361" s="14"/>
      <c r="K361" s="14"/>
      <c r="L361" s="5"/>
      <c r="M361" s="5"/>
      <c r="N361" s="5"/>
      <c r="O361" s="3"/>
      <c r="P361" s="3"/>
    </row>
    <row r="362" spans="2:16" hidden="1" outlineLevel="1">
      <c r="B362" s="5" t="s">
        <v>218</v>
      </c>
      <c r="C362" s="5" t="str">
        <f>"Melt Gold Mega PS EU"</f>
        <v>Melt Gold Mega PS EU</v>
      </c>
      <c r="D362" s="42">
        <f>8160</f>
        <v>8160</v>
      </c>
      <c r="E362" s="5" t="s">
        <v>196</v>
      </c>
      <c r="F362" s="5" t="str">
        <f>IF($E362="","","Mega Pendant System Round EU")</f>
        <v>Mega Pendant System Round EU</v>
      </c>
      <c r="G362" s="42">
        <f>IF($E362="","",1350)</f>
        <v>1350</v>
      </c>
      <c r="H362" s="7">
        <f>1</f>
        <v>1</v>
      </c>
      <c r="I362" s="5"/>
      <c r="J362" s="6"/>
      <c r="K362" s="6"/>
      <c r="L362" s="5"/>
      <c r="M362" s="5"/>
      <c r="N362" s="5"/>
      <c r="O362" s="3"/>
      <c r="P362" s="3"/>
    </row>
    <row r="363" spans="2:16" hidden="1" outlineLevel="1">
      <c r="B363" s="5" t="s">
        <v>218</v>
      </c>
      <c r="C363" s="5" t="str">
        <f>"Melt Gold Mega PS EU"</f>
        <v>Melt Gold Mega PS EU</v>
      </c>
      <c r="D363" s="42">
        <f>8160</f>
        <v>8160</v>
      </c>
      <c r="E363" s="5" t="s">
        <v>112</v>
      </c>
      <c r="F363" s="5" t="str">
        <f>IF($E363="","","Melt Pendant Gold 50 EU")</f>
        <v>Melt Pendant Gold 50 EU</v>
      </c>
      <c r="G363" s="42">
        <f>IF($E363="","",735)</f>
        <v>735</v>
      </c>
      <c r="H363" s="7">
        <f>6</f>
        <v>6</v>
      </c>
      <c r="I363" s="5"/>
      <c r="J363" s="6"/>
      <c r="K363" s="6"/>
      <c r="L363" s="5"/>
      <c r="M363" s="5"/>
      <c r="N363" s="5"/>
      <c r="O363" s="3"/>
      <c r="P363" s="3"/>
    </row>
    <row r="364" spans="2:16" hidden="1" outlineLevel="1">
      <c r="B364" s="5" t="s">
        <v>218</v>
      </c>
      <c r="C364" s="5" t="str">
        <f>"Melt Gold Mega PS EU"</f>
        <v>Melt Gold Mega PS EU</v>
      </c>
      <c r="D364" s="42">
        <f>8160</f>
        <v>8160</v>
      </c>
      <c r="E364" s="5" t="s">
        <v>117</v>
      </c>
      <c r="F364" s="5" t="str">
        <f>IF($E364="","","Melt Pendant mini Gold  EU")</f>
        <v>Melt Pendant mini Gold  EU</v>
      </c>
      <c r="G364" s="42">
        <f>IF($E364="","",480)</f>
        <v>480</v>
      </c>
      <c r="H364" s="7">
        <f>5</f>
        <v>5</v>
      </c>
      <c r="I364" s="5"/>
      <c r="J364" s="6"/>
      <c r="K364" s="6"/>
      <c r="L364" s="5"/>
      <c r="M364" s="5"/>
      <c r="N364" s="5"/>
      <c r="O364" s="3"/>
      <c r="P364" s="3"/>
    </row>
    <row r="365" spans="2:16" collapsed="1">
      <c r="B365" s="5" t="s">
        <v>218</v>
      </c>
      <c r="C365" s="5" t="str">
        <f>"Melt Gold Mega PS EU"</f>
        <v>Melt Gold Mega PS EU</v>
      </c>
      <c r="D365" s="42">
        <f>8160</f>
        <v>8160</v>
      </c>
      <c r="E365" s="5"/>
      <c r="F365" s="5"/>
      <c r="G365" s="42"/>
      <c r="H365" s="7"/>
      <c r="I365" s="5"/>
      <c r="J365" s="14"/>
      <c r="K365" s="14"/>
      <c r="L365" s="5"/>
      <c r="M365" s="5"/>
      <c r="N365" s="5"/>
      <c r="O365" s="3"/>
      <c r="P365" s="3"/>
    </row>
    <row r="366" spans="2:16" hidden="1" outlineLevel="1">
      <c r="B366" s="5" t="s">
        <v>219</v>
      </c>
      <c r="C366" s="5" t="str">
        <f>"Melt Smoke Mega PS EU"</f>
        <v>Melt Smoke Mega PS EU</v>
      </c>
      <c r="D366" s="42">
        <f>8160</f>
        <v>8160</v>
      </c>
      <c r="E366" s="5" t="s">
        <v>196</v>
      </c>
      <c r="F366" s="5" t="str">
        <f>IF($E366="","","Mega Pendant System Round EU")</f>
        <v>Mega Pendant System Round EU</v>
      </c>
      <c r="G366" s="42">
        <f>IF($E366="","",1350)</f>
        <v>1350</v>
      </c>
      <c r="H366" s="7">
        <f>1</f>
        <v>1</v>
      </c>
      <c r="I366" s="5"/>
      <c r="J366" s="6"/>
      <c r="K366" s="6"/>
      <c r="L366" s="5"/>
      <c r="M366" s="5"/>
      <c r="N366" s="5"/>
      <c r="O366" s="3"/>
      <c r="P366" s="3"/>
    </row>
    <row r="367" spans="2:16" hidden="1" outlineLevel="1">
      <c r="B367" s="5" t="s">
        <v>219</v>
      </c>
      <c r="C367" s="5" t="str">
        <f>"Melt Smoke Mega PS EU"</f>
        <v>Melt Smoke Mega PS EU</v>
      </c>
      <c r="D367" s="42">
        <f>8160</f>
        <v>8160</v>
      </c>
      <c r="E367" s="5" t="s">
        <v>114</v>
      </c>
      <c r="F367" s="5" t="str">
        <f>IF($E367="","","Melt Pendant Smoke EU")</f>
        <v>Melt Pendant Smoke EU</v>
      </c>
      <c r="G367" s="42">
        <f>IF($E367="","",735)</f>
        <v>735</v>
      </c>
      <c r="H367" s="7">
        <f>6</f>
        <v>6</v>
      </c>
      <c r="I367" s="5"/>
      <c r="J367" s="6"/>
      <c r="K367" s="6"/>
      <c r="L367" s="5"/>
      <c r="M367" s="5"/>
      <c r="N367" s="5"/>
      <c r="O367" s="3"/>
      <c r="P367" s="3"/>
    </row>
    <row r="368" spans="2:16" hidden="1" outlineLevel="1">
      <c r="B368" s="5" t="s">
        <v>219</v>
      </c>
      <c r="C368" s="5" t="str">
        <f>"Melt Smoke Mega PS EU"</f>
        <v>Melt Smoke Mega PS EU</v>
      </c>
      <c r="D368" s="42">
        <f>8160</f>
        <v>8160</v>
      </c>
      <c r="E368" s="5" t="s">
        <v>119</v>
      </c>
      <c r="F368" s="5" t="str">
        <f>IF($E368="","","Melt Pendant mini Smoke EU")</f>
        <v>Melt Pendant mini Smoke EU</v>
      </c>
      <c r="G368" s="42">
        <f>IF($E368="","",480)</f>
        <v>480</v>
      </c>
      <c r="H368" s="7">
        <f>5</f>
        <v>5</v>
      </c>
      <c r="I368" s="5"/>
      <c r="J368" s="6"/>
      <c r="K368" s="6"/>
      <c r="L368" s="5"/>
      <c r="M368" s="5"/>
      <c r="N368" s="5"/>
      <c r="O368" s="3"/>
      <c r="P368" s="3"/>
    </row>
    <row r="369" spans="2:16" collapsed="1">
      <c r="B369" s="5" t="s">
        <v>219</v>
      </c>
      <c r="C369" s="5" t="str">
        <f>"Melt Smoke Mega PS EU"</f>
        <v>Melt Smoke Mega PS EU</v>
      </c>
      <c r="D369" s="42">
        <f>8160</f>
        <v>8160</v>
      </c>
      <c r="E369" s="5"/>
      <c r="F369" s="5"/>
      <c r="G369" s="42"/>
      <c r="H369" s="7"/>
      <c r="I369" s="5"/>
      <c r="J369" s="14"/>
      <c r="K369" s="14"/>
      <c r="L369" s="5"/>
      <c r="M369" s="5"/>
      <c r="N369" s="5"/>
      <c r="O369" s="3"/>
      <c r="P369" s="3"/>
    </row>
    <row r="370" spans="2:16" hidden="1" outlineLevel="1">
      <c r="B370" s="5" t="s">
        <v>220</v>
      </c>
      <c r="C370" s="5" t="str">
        <f>"Mirror Ball Gold Mega PS EU"</f>
        <v>Mirror Ball Gold Mega PS EU</v>
      </c>
      <c r="D370" s="42">
        <f>10670</f>
        <v>10670</v>
      </c>
      <c r="E370" s="5" t="s">
        <v>131</v>
      </c>
      <c r="F370" s="5" t="str">
        <f>IF($E370="","","Mirror Ball 25 Pendant Gold EU")</f>
        <v>Mirror Ball 25 Pendant Gold EU</v>
      </c>
      <c r="G370" s="42">
        <f>IF($E370="","",350)</f>
        <v>350</v>
      </c>
      <c r="H370" s="7">
        <f>7</f>
        <v>7</v>
      </c>
      <c r="I370" s="5"/>
      <c r="J370" s="6"/>
      <c r="K370" s="6"/>
      <c r="L370" s="5"/>
      <c r="M370" s="5"/>
      <c r="N370" s="5"/>
      <c r="O370" s="3"/>
      <c r="P370" s="3"/>
    </row>
    <row r="371" spans="2:16" hidden="1" outlineLevel="1">
      <c r="B371" s="5" t="s">
        <v>220</v>
      </c>
      <c r="C371" s="5" t="str">
        <f>"Mirror Ball Gold Mega PS EU"</f>
        <v>Mirror Ball Gold Mega PS EU</v>
      </c>
      <c r="D371" s="42">
        <f>10670</f>
        <v>10670</v>
      </c>
      <c r="E371" s="5" t="s">
        <v>130</v>
      </c>
      <c r="F371" s="5" t="str">
        <f>IF($E371="","","Mirror Ball 40 Pendant Gold EU")</f>
        <v>Mirror Ball 40 Pendant Gold EU</v>
      </c>
      <c r="G371" s="42">
        <f>IF($E371="","",530)</f>
        <v>530</v>
      </c>
      <c r="H371" s="7">
        <f>6</f>
        <v>6</v>
      </c>
      <c r="I371" s="5"/>
      <c r="J371" s="6"/>
      <c r="K371" s="6"/>
      <c r="L371" s="5"/>
      <c r="M371" s="5"/>
      <c r="N371" s="5"/>
      <c r="O371" s="3"/>
      <c r="P371" s="3"/>
    </row>
    <row r="372" spans="2:16" hidden="1" outlineLevel="1">
      <c r="B372" s="5" t="s">
        <v>220</v>
      </c>
      <c r="C372" s="5" t="str">
        <f>"Mirror Ball Gold Mega PS EU"</f>
        <v>Mirror Ball Gold Mega PS EU</v>
      </c>
      <c r="D372" s="42">
        <f>10670</f>
        <v>10670</v>
      </c>
      <c r="E372" s="5" t="s">
        <v>129</v>
      </c>
      <c r="F372" s="5" t="str">
        <f>IF($E372="","","Mirror Ball 50 Pendant Gold EU")</f>
        <v>Mirror Ball 50 Pendant Gold EU</v>
      </c>
      <c r="G372" s="42">
        <f>IF($E372="","",615)</f>
        <v>615</v>
      </c>
      <c r="H372" s="7">
        <f>6</f>
        <v>6</v>
      </c>
      <c r="I372" s="5"/>
      <c r="J372" s="6"/>
      <c r="K372" s="6"/>
      <c r="L372" s="5"/>
      <c r="M372" s="5"/>
      <c r="N372" s="5"/>
      <c r="O372" s="3"/>
      <c r="P372" s="3"/>
    </row>
    <row r="373" spans="2:16" hidden="1" outlineLevel="1">
      <c r="B373" s="5" t="s">
        <v>220</v>
      </c>
      <c r="C373" s="5" t="str">
        <f>"Mirror Ball Gold Mega PS EU"</f>
        <v>Mirror Ball Gold Mega PS EU</v>
      </c>
      <c r="D373" s="42">
        <f>10670</f>
        <v>10670</v>
      </c>
      <c r="E373" s="5" t="s">
        <v>196</v>
      </c>
      <c r="F373" s="5" t="str">
        <f>IF($E373="","","Mega Pendant System Round EU")</f>
        <v>Mega Pendant System Round EU</v>
      </c>
      <c r="G373" s="42">
        <f>IF($E373="","",1350)</f>
        <v>1350</v>
      </c>
      <c r="H373" s="7">
        <f>1</f>
        <v>1</v>
      </c>
      <c r="I373" s="5"/>
      <c r="J373" s="6"/>
      <c r="K373" s="6"/>
      <c r="L373" s="5"/>
      <c r="M373" s="5"/>
      <c r="N373" s="5"/>
      <c r="O373" s="3"/>
      <c r="P373" s="3"/>
    </row>
    <row r="374" spans="2:16" collapsed="1">
      <c r="B374" s="5" t="s">
        <v>220</v>
      </c>
      <c r="C374" s="5" t="str">
        <f>"Mirror Ball Gold Mega PS EU"</f>
        <v>Mirror Ball Gold Mega PS EU</v>
      </c>
      <c r="D374" s="42">
        <f>10670</f>
        <v>10670</v>
      </c>
      <c r="E374" s="5"/>
      <c r="F374" s="5"/>
      <c r="G374" s="42"/>
      <c r="H374" s="7"/>
      <c r="I374" s="5"/>
      <c r="J374" s="14"/>
      <c r="K374" s="14"/>
      <c r="L374" s="5"/>
      <c r="M374" s="5"/>
      <c r="N374" s="5"/>
      <c r="O374" s="3"/>
      <c r="P374" s="3"/>
    </row>
    <row r="375" spans="2:16" hidden="1" outlineLevel="1">
      <c r="B375" s="5" t="s">
        <v>221</v>
      </c>
      <c r="C375" s="5" t="str">
        <f>"Mirror Ball Mega PS EU"</f>
        <v>Mirror Ball Mega PS EU</v>
      </c>
      <c r="D375" s="42">
        <f>10670</f>
        <v>10670</v>
      </c>
      <c r="E375" s="5" t="s">
        <v>128</v>
      </c>
      <c r="F375" s="5" t="str">
        <f>IF($E375="","","Mirror Ball 25 Pendant EU")</f>
        <v>Mirror Ball 25 Pendant EU</v>
      </c>
      <c r="G375" s="42">
        <f>IF($E375="","",350)</f>
        <v>350</v>
      </c>
      <c r="H375" s="7">
        <f>7</f>
        <v>7</v>
      </c>
      <c r="I375" s="5"/>
      <c r="J375" s="6"/>
      <c r="K375" s="6"/>
      <c r="L375" s="5"/>
      <c r="M375" s="5"/>
      <c r="N375" s="5"/>
      <c r="O375" s="3"/>
      <c r="P375" s="3"/>
    </row>
    <row r="376" spans="2:16" hidden="1" outlineLevel="1">
      <c r="B376" s="5" t="s">
        <v>221</v>
      </c>
      <c r="C376" s="5" t="str">
        <f>"Mirror Ball Mega PS EU"</f>
        <v>Mirror Ball Mega PS EU</v>
      </c>
      <c r="D376" s="42">
        <f>10670</f>
        <v>10670</v>
      </c>
      <c r="E376" s="5" t="s">
        <v>127</v>
      </c>
      <c r="F376" s="5" t="str">
        <f>IF($E376="","","Mirror Ball 40 Pendant EU")</f>
        <v>Mirror Ball 40 Pendant EU</v>
      </c>
      <c r="G376" s="42">
        <f>IF($E376="","",530)</f>
        <v>530</v>
      </c>
      <c r="H376" s="7">
        <f>6</f>
        <v>6</v>
      </c>
      <c r="I376" s="5"/>
      <c r="J376" s="6"/>
      <c r="K376" s="6"/>
      <c r="L376" s="5"/>
      <c r="M376" s="5"/>
      <c r="N376" s="5"/>
      <c r="O376" s="3"/>
      <c r="P376" s="3"/>
    </row>
    <row r="377" spans="2:16" hidden="1" outlineLevel="1">
      <c r="B377" s="5" t="s">
        <v>221</v>
      </c>
      <c r="C377" s="5" t="str">
        <f>"Mirror Ball Mega PS EU"</f>
        <v>Mirror Ball Mega PS EU</v>
      </c>
      <c r="D377" s="42">
        <f>10670</f>
        <v>10670</v>
      </c>
      <c r="E377" s="5" t="s">
        <v>126</v>
      </c>
      <c r="F377" s="5" t="str">
        <f>IF($E377="","","Mirror Ball 50 Pendant EU")</f>
        <v>Mirror Ball 50 Pendant EU</v>
      </c>
      <c r="G377" s="42">
        <f>IF($E377="","",615)</f>
        <v>615</v>
      </c>
      <c r="H377" s="7">
        <f>6</f>
        <v>6</v>
      </c>
      <c r="I377" s="5"/>
      <c r="J377" s="6"/>
      <c r="K377" s="6"/>
      <c r="L377" s="5"/>
      <c r="M377" s="5"/>
      <c r="N377" s="5"/>
      <c r="O377" s="3"/>
      <c r="P377" s="3"/>
    </row>
    <row r="378" spans="2:16" hidden="1" outlineLevel="1">
      <c r="B378" s="5" t="s">
        <v>221</v>
      </c>
      <c r="C378" s="5" t="str">
        <f>"Mirror Ball Mega PS EU"</f>
        <v>Mirror Ball Mega PS EU</v>
      </c>
      <c r="D378" s="42">
        <f>10670</f>
        <v>10670</v>
      </c>
      <c r="E378" s="5" t="s">
        <v>196</v>
      </c>
      <c r="F378" s="5" t="str">
        <f>IF($E378="","","Mega Pendant System Round EU")</f>
        <v>Mega Pendant System Round EU</v>
      </c>
      <c r="G378" s="42">
        <f>IF($E378="","",1350)</f>
        <v>1350</v>
      </c>
      <c r="H378" s="7">
        <f>1</f>
        <v>1</v>
      </c>
      <c r="I378" s="5"/>
      <c r="J378" s="6"/>
      <c r="K378" s="6"/>
      <c r="L378" s="5"/>
      <c r="M378" s="5"/>
      <c r="N378" s="5"/>
      <c r="O378" s="3"/>
      <c r="P378" s="3"/>
    </row>
    <row r="379" spans="2:16" collapsed="1">
      <c r="B379" s="5" t="s">
        <v>221</v>
      </c>
      <c r="C379" s="5" t="str">
        <f>"Mirror Ball Mega PS EU"</f>
        <v>Mirror Ball Mega PS EU</v>
      </c>
      <c r="D379" s="42">
        <f>10670</f>
        <v>10670</v>
      </c>
      <c r="E379" s="5"/>
      <c r="F379" s="5"/>
      <c r="G379" s="42"/>
      <c r="H379" s="7"/>
      <c r="I379" s="5"/>
      <c r="J379" s="14"/>
      <c r="K379" s="14"/>
      <c r="L379" s="5"/>
      <c r="M379" s="5"/>
      <c r="N379" s="5"/>
      <c r="O379" s="3"/>
      <c r="P379" s="3"/>
    </row>
    <row r="380" spans="2:16" hidden="1" outlineLevel="1">
      <c r="B380" s="5" t="s">
        <v>222</v>
      </c>
      <c r="C380" s="5" t="str">
        <f>"Top Silver Mega PS EU"</f>
        <v>Top Silver Mega PS EU</v>
      </c>
      <c r="D380" s="42">
        <f>13510</f>
        <v>13510</v>
      </c>
      <c r="E380" s="5" t="s">
        <v>196</v>
      </c>
      <c r="F380" s="5" t="str">
        <f>IF($E380="","","Mega Pendant System Round EU")</f>
        <v>Mega Pendant System Round EU</v>
      </c>
      <c r="G380" s="42">
        <f>IF($E380="","",1350)</f>
        <v>1350</v>
      </c>
      <c r="H380" s="7">
        <f>1</f>
        <v>1</v>
      </c>
      <c r="I380" s="5"/>
      <c r="J380" s="6"/>
      <c r="K380" s="6"/>
      <c r="L380" s="5"/>
      <c r="M380" s="5"/>
      <c r="N380" s="5"/>
      <c r="O380" s="3"/>
      <c r="P380" s="3"/>
    </row>
    <row r="381" spans="2:16" hidden="1" outlineLevel="1">
      <c r="B381" s="5" t="s">
        <v>222</v>
      </c>
      <c r="C381" s="5" t="str">
        <f>"Top Silver Mega PS EU"</f>
        <v>Top Silver Mega PS EU</v>
      </c>
      <c r="D381" s="42">
        <f>13510</f>
        <v>13510</v>
      </c>
      <c r="E381" s="5" t="s">
        <v>148</v>
      </c>
      <c r="F381" s="5" t="str">
        <f>IF($E381="","","Top Silver Pendant EU")</f>
        <v>Top Silver Pendant EU</v>
      </c>
      <c r="G381" s="42">
        <f>IF($E381="","",640)</f>
        <v>640</v>
      </c>
      <c r="H381" s="7">
        <f>19</f>
        <v>19</v>
      </c>
      <c r="I381" s="5"/>
      <c r="J381" s="6"/>
      <c r="K381" s="6"/>
      <c r="L381" s="5"/>
      <c r="M381" s="5"/>
      <c r="N381" s="5"/>
      <c r="O381" s="3"/>
      <c r="P381" s="3"/>
    </row>
    <row r="382" spans="2:16" collapsed="1">
      <c r="B382" s="5" t="s">
        <v>222</v>
      </c>
      <c r="C382" s="5" t="str">
        <f>"Top Silver Mega PS EU"</f>
        <v>Top Silver Mega PS EU</v>
      </c>
      <c r="D382" s="42">
        <f>13510</f>
        <v>13510</v>
      </c>
      <c r="E382" s="5"/>
      <c r="F382" s="5"/>
      <c r="G382" s="42"/>
      <c r="H382" s="7"/>
      <c r="I382" s="5"/>
      <c r="J382" s="14"/>
      <c r="K382" s="14"/>
      <c r="L382" s="5"/>
      <c r="M382" s="5"/>
      <c r="N382" s="5"/>
      <c r="O382" s="3"/>
      <c r="P382" s="3"/>
    </row>
    <row r="383" spans="2:16" hidden="1" outlineLevel="1">
      <c r="B383" s="5" t="s">
        <v>223</v>
      </c>
      <c r="C383" s="5" t="str">
        <f>"Mirror Ball 25cm Linear EU"</f>
        <v>Mirror Ball 25cm Linear EU</v>
      </c>
      <c r="D383" s="42">
        <f>1750</f>
        <v>1750</v>
      </c>
      <c r="E383" s="5" t="s">
        <v>179</v>
      </c>
      <c r="F383" s="5" t="str">
        <f>IF($E383="","","Linear Pendant System")</f>
        <v>Linear Pendant System</v>
      </c>
      <c r="G383" s="42">
        <f>IF($E383="","",0)</f>
        <v>0</v>
      </c>
      <c r="H383" s="7">
        <f>1</f>
        <v>1</v>
      </c>
      <c r="I383" s="5"/>
      <c r="J383" s="6"/>
      <c r="K383" s="6"/>
      <c r="L383" s="5"/>
      <c r="M383" s="5"/>
      <c r="N383" s="5"/>
      <c r="O383" s="3"/>
      <c r="P383" s="3"/>
    </row>
    <row r="384" spans="2:16" hidden="1" outlineLevel="1">
      <c r="B384" s="5" t="s">
        <v>223</v>
      </c>
      <c r="C384" s="5" t="str">
        <f>"Mirror Ball 25cm Linear EU"</f>
        <v>Mirror Ball 25cm Linear EU</v>
      </c>
      <c r="D384" s="42">
        <f>1750</f>
        <v>1750</v>
      </c>
      <c r="E384" s="5" t="s">
        <v>128</v>
      </c>
      <c r="F384" s="5" t="str">
        <f>IF($E384="","","Mirror Ball 25 Pendant EU")</f>
        <v>Mirror Ball 25 Pendant EU</v>
      </c>
      <c r="G384" s="42">
        <f>IF($E384="","",350)</f>
        <v>350</v>
      </c>
      <c r="H384" s="7">
        <f>5</f>
        <v>5</v>
      </c>
      <c r="I384" s="5"/>
      <c r="J384" s="6"/>
      <c r="K384" s="6"/>
      <c r="L384" s="5"/>
      <c r="M384" s="5"/>
      <c r="N384" s="5"/>
      <c r="O384" s="3"/>
      <c r="P384" s="3"/>
    </row>
    <row r="385" spans="2:16" collapsed="1">
      <c r="B385" s="5" t="s">
        <v>223</v>
      </c>
      <c r="C385" s="5" t="str">
        <f>"Mirror Ball 25cm Linear EU"</f>
        <v>Mirror Ball 25cm Linear EU</v>
      </c>
      <c r="D385" s="42">
        <f>1750</f>
        <v>1750</v>
      </c>
      <c r="E385" s="5"/>
      <c r="F385" s="5"/>
      <c r="G385" s="42"/>
      <c r="H385" s="7"/>
      <c r="I385" s="5"/>
      <c r="J385" s="14"/>
      <c r="K385" s="14"/>
      <c r="L385" s="5"/>
      <c r="M385" s="5"/>
      <c r="N385" s="5"/>
      <c r="O385" s="3"/>
      <c r="P385" s="3"/>
    </row>
    <row r="386" spans="2:16" hidden="1" outlineLevel="1">
      <c r="B386" s="5" t="s">
        <v>224</v>
      </c>
      <c r="C386" s="5" t="str">
        <f>"Mirror Ball 40cm Round EU"</f>
        <v>Mirror Ball 40cm Round EU</v>
      </c>
      <c r="D386" s="42">
        <f>1590</f>
        <v>1590</v>
      </c>
      <c r="E386" s="5" t="s">
        <v>181</v>
      </c>
      <c r="F386" s="5" t="str">
        <f>IF($E386="","","Pendant System")</f>
        <v>Pendant System</v>
      </c>
      <c r="G386" s="42">
        <f>IF($E386="","",0)</f>
        <v>0</v>
      </c>
      <c r="H386" s="7">
        <f>1</f>
        <v>1</v>
      </c>
      <c r="I386" s="5"/>
      <c r="J386" s="6"/>
      <c r="K386" s="6"/>
      <c r="L386" s="5"/>
      <c r="M386" s="5"/>
      <c r="N386" s="5"/>
      <c r="O386" s="3"/>
      <c r="P386" s="3"/>
    </row>
    <row r="387" spans="2:16" hidden="1" outlineLevel="1">
      <c r="B387" s="5" t="s">
        <v>224</v>
      </c>
      <c r="C387" s="5" t="str">
        <f>"Mirror Ball 40cm Round EU"</f>
        <v>Mirror Ball 40cm Round EU</v>
      </c>
      <c r="D387" s="42">
        <f>1590</f>
        <v>1590</v>
      </c>
      <c r="E387" s="5" t="s">
        <v>127</v>
      </c>
      <c r="F387" s="5" t="str">
        <f>IF($E387="","","Mirror Ball 40 Pendant EU")</f>
        <v>Mirror Ball 40 Pendant EU</v>
      </c>
      <c r="G387" s="42">
        <f>IF($E387="","",530)</f>
        <v>530</v>
      </c>
      <c r="H387" s="7">
        <f>3</f>
        <v>3</v>
      </c>
      <c r="I387" s="5"/>
      <c r="J387" s="6"/>
      <c r="K387" s="6"/>
      <c r="L387" s="5"/>
      <c r="M387" s="5"/>
      <c r="N387" s="5"/>
      <c r="O387" s="3"/>
      <c r="P387" s="3"/>
    </row>
    <row r="388" spans="2:16" collapsed="1">
      <c r="B388" s="5" t="s">
        <v>224</v>
      </c>
      <c r="C388" s="5" t="str">
        <f>"Mirror Ball 40cm Round EU"</f>
        <v>Mirror Ball 40cm Round EU</v>
      </c>
      <c r="D388" s="42">
        <f>1590</f>
        <v>1590</v>
      </c>
      <c r="E388" s="5"/>
      <c r="F388" s="5"/>
      <c r="G388" s="42"/>
      <c r="H388" s="7"/>
      <c r="I388" s="5"/>
      <c r="J388" s="14"/>
      <c r="K388" s="14"/>
      <c r="L388" s="5"/>
      <c r="M388" s="5"/>
      <c r="N388" s="5"/>
      <c r="O388" s="3"/>
      <c r="P388" s="3"/>
    </row>
    <row r="389" spans="2:16" hidden="1" outlineLevel="1">
      <c r="B389" s="5" t="s">
        <v>225</v>
      </c>
      <c r="C389" s="5" t="str">
        <f>"Mirror Ball Range Round EU"</f>
        <v>Mirror Ball Range Round EU</v>
      </c>
      <c r="D389" s="42">
        <f>1495</f>
        <v>1495</v>
      </c>
      <c r="E389" s="5" t="s">
        <v>181</v>
      </c>
      <c r="F389" s="5" t="str">
        <f>IF($E389="","","Pendant System")</f>
        <v>Pendant System</v>
      </c>
      <c r="G389" s="42">
        <f>IF($E389="","",0)</f>
        <v>0</v>
      </c>
      <c r="H389" s="7">
        <f>1</f>
        <v>1</v>
      </c>
      <c r="I389" s="5"/>
      <c r="J389" s="6"/>
      <c r="K389" s="6"/>
      <c r="L389" s="5"/>
      <c r="M389" s="5"/>
      <c r="N389" s="5"/>
      <c r="O389" s="3"/>
      <c r="P389" s="3"/>
    </row>
    <row r="390" spans="2:16" hidden="1" outlineLevel="1">
      <c r="B390" s="5" t="s">
        <v>225</v>
      </c>
      <c r="C390" s="5" t="str">
        <f>"Mirror Ball Range Round EU"</f>
        <v>Mirror Ball Range Round EU</v>
      </c>
      <c r="D390" s="42">
        <f>1495</f>
        <v>1495</v>
      </c>
      <c r="E390" s="5" t="s">
        <v>128</v>
      </c>
      <c r="F390" s="5" t="str">
        <f>IF($E390="","","Mirror Ball 25 Pendant EU")</f>
        <v>Mirror Ball 25 Pendant EU</v>
      </c>
      <c r="G390" s="42">
        <f>IF($E390="","",350)</f>
        <v>350</v>
      </c>
      <c r="H390" s="7">
        <f>1</f>
        <v>1</v>
      </c>
      <c r="I390" s="5"/>
      <c r="J390" s="6"/>
      <c r="K390" s="6"/>
      <c r="L390" s="5"/>
      <c r="M390" s="5"/>
      <c r="N390" s="5"/>
      <c r="O390" s="3"/>
      <c r="P390" s="3"/>
    </row>
    <row r="391" spans="2:16" hidden="1" outlineLevel="1">
      <c r="B391" s="5" t="s">
        <v>225</v>
      </c>
      <c r="C391" s="5" t="str">
        <f>"Mirror Ball Range Round EU"</f>
        <v>Mirror Ball Range Round EU</v>
      </c>
      <c r="D391" s="42">
        <f>1495</f>
        <v>1495</v>
      </c>
      <c r="E391" s="5" t="s">
        <v>127</v>
      </c>
      <c r="F391" s="5" t="str">
        <f>IF($E391="","","Mirror Ball 40 Pendant EU")</f>
        <v>Mirror Ball 40 Pendant EU</v>
      </c>
      <c r="G391" s="42">
        <f>IF($E391="","",530)</f>
        <v>530</v>
      </c>
      <c r="H391" s="7">
        <v>1</v>
      </c>
      <c r="I391" s="5"/>
      <c r="J391" s="6"/>
      <c r="K391" s="6"/>
      <c r="L391" s="5"/>
      <c r="M391" s="5"/>
      <c r="N391" s="5"/>
      <c r="O391" s="3"/>
      <c r="P391" s="3"/>
    </row>
    <row r="392" spans="2:16" hidden="1" outlineLevel="1">
      <c r="B392" s="5" t="s">
        <v>225</v>
      </c>
      <c r="C392" s="5" t="str">
        <f>"Mirror Ball Range Round EU"</f>
        <v>Mirror Ball Range Round EU</v>
      </c>
      <c r="D392" s="42">
        <f>1495</f>
        <v>1495</v>
      </c>
      <c r="E392" s="5" t="s">
        <v>126</v>
      </c>
      <c r="F392" s="5" t="str">
        <f>IF($E392="","","Mirror Ball 50 Pendant EU")</f>
        <v>Mirror Ball 50 Pendant EU</v>
      </c>
      <c r="G392" s="42">
        <f>IF($E392="","",615)</f>
        <v>615</v>
      </c>
      <c r="H392" s="7">
        <f>1</f>
        <v>1</v>
      </c>
      <c r="I392" s="5"/>
      <c r="J392" s="6"/>
      <c r="K392" s="6"/>
      <c r="L392" s="5"/>
      <c r="M392" s="5"/>
      <c r="N392" s="5"/>
      <c r="O392" s="3"/>
      <c r="P392" s="3"/>
    </row>
    <row r="393" spans="2:16" collapsed="1">
      <c r="B393" s="5" t="s">
        <v>225</v>
      </c>
      <c r="C393" s="5" t="str">
        <f>"Mirror Ball Range Round EU"</f>
        <v>Mirror Ball Range Round EU</v>
      </c>
      <c r="D393" s="42">
        <f>1495</f>
        <v>1495</v>
      </c>
      <c r="E393" s="5"/>
      <c r="F393" s="5"/>
      <c r="G393" s="42"/>
      <c r="H393" s="7"/>
      <c r="I393" s="5"/>
      <c r="J393" s="14"/>
      <c r="K393" s="14"/>
      <c r="L393" s="5"/>
      <c r="M393" s="5"/>
      <c r="N393" s="5"/>
      <c r="O393" s="3"/>
      <c r="P393" s="3"/>
    </row>
    <row r="394" spans="2:16" hidden="1" outlineLevel="1">
      <c r="B394" s="5" t="s">
        <v>226</v>
      </c>
      <c r="C394" s="5" t="str">
        <f>"MirrorBall Gold 25cm Linear EU"</f>
        <v>MirrorBall Gold 25cm Linear EU</v>
      </c>
      <c r="D394" s="42">
        <f>1750</f>
        <v>1750</v>
      </c>
      <c r="E394" s="5" t="s">
        <v>179</v>
      </c>
      <c r="F394" s="5" t="str">
        <f>IF($E394="","","Linear Pendant System")</f>
        <v>Linear Pendant System</v>
      </c>
      <c r="G394" s="42">
        <f>IF($E394="","",0)</f>
        <v>0</v>
      </c>
      <c r="H394" s="7">
        <f>1</f>
        <v>1</v>
      </c>
      <c r="I394" s="5"/>
      <c r="J394" s="6"/>
      <c r="K394" s="6"/>
      <c r="L394" s="5"/>
      <c r="M394" s="5"/>
      <c r="N394" s="5"/>
      <c r="O394" s="3"/>
      <c r="P394" s="3"/>
    </row>
    <row r="395" spans="2:16" hidden="1" outlineLevel="1">
      <c r="B395" s="5" t="s">
        <v>226</v>
      </c>
      <c r="C395" s="5" t="str">
        <f>"MirrorBall Gold 25cm Linear EU"</f>
        <v>MirrorBall Gold 25cm Linear EU</v>
      </c>
      <c r="D395" s="42">
        <f>1750</f>
        <v>1750</v>
      </c>
      <c r="E395" s="5" t="s">
        <v>131</v>
      </c>
      <c r="F395" s="5" t="str">
        <f>IF($E395="","","Mirror Ball 25 Pendant Gold EU")</f>
        <v>Mirror Ball 25 Pendant Gold EU</v>
      </c>
      <c r="G395" s="42">
        <f>IF($E395="","",350)</f>
        <v>350</v>
      </c>
      <c r="H395" s="7">
        <f>5</f>
        <v>5</v>
      </c>
      <c r="I395" s="5"/>
      <c r="J395" s="6"/>
      <c r="K395" s="6"/>
      <c r="L395" s="5"/>
      <c r="M395" s="5"/>
      <c r="N395" s="5"/>
      <c r="O395" s="3"/>
      <c r="P395" s="3"/>
    </row>
    <row r="396" spans="2:16" collapsed="1">
      <c r="B396" s="5" t="s">
        <v>226</v>
      </c>
      <c r="C396" s="5" t="str">
        <f>"MirrorBall Gold 25cm Linear EU"</f>
        <v>MirrorBall Gold 25cm Linear EU</v>
      </c>
      <c r="D396" s="42">
        <f>1750</f>
        <v>1750</v>
      </c>
      <c r="E396" s="5"/>
      <c r="F396" s="5"/>
      <c r="G396" s="42"/>
      <c r="H396" s="7"/>
      <c r="I396" s="5"/>
      <c r="J396" s="14"/>
      <c r="K396" s="14"/>
      <c r="L396" s="5"/>
      <c r="M396" s="5"/>
      <c r="N396" s="5"/>
      <c r="O396" s="3"/>
      <c r="P396" s="3"/>
    </row>
    <row r="397" spans="2:16" hidden="1" outlineLevel="1">
      <c r="B397" s="5" t="s">
        <v>227</v>
      </c>
      <c r="C397" s="5" t="str">
        <f>"Mirror Ball Gold Range Rnd EU"</f>
        <v>Mirror Ball Gold Range Rnd EU</v>
      </c>
      <c r="D397" s="42">
        <f>1495</f>
        <v>1495</v>
      </c>
      <c r="E397" s="5" t="s">
        <v>181</v>
      </c>
      <c r="F397" s="5" t="str">
        <f>IF($E397="","","Pendant System")</f>
        <v>Pendant System</v>
      </c>
      <c r="G397" s="42">
        <f>IF($E397="","",0)</f>
        <v>0</v>
      </c>
      <c r="H397" s="7">
        <f>1</f>
        <v>1</v>
      </c>
      <c r="I397" s="5"/>
      <c r="J397" s="6"/>
      <c r="K397" s="6"/>
      <c r="L397" s="5"/>
      <c r="M397" s="5"/>
      <c r="N397" s="5"/>
      <c r="O397" s="3"/>
      <c r="P397" s="3"/>
    </row>
    <row r="398" spans="2:16" hidden="1" outlineLevel="1">
      <c r="B398" s="5" t="s">
        <v>227</v>
      </c>
      <c r="C398" s="5" t="str">
        <f>"Mirror Ball Gold Range Rnd EU"</f>
        <v>Mirror Ball Gold Range Rnd EU</v>
      </c>
      <c r="D398" s="42">
        <f>1495</f>
        <v>1495</v>
      </c>
      <c r="E398" s="5" t="s">
        <v>131</v>
      </c>
      <c r="F398" s="5" t="str">
        <f>IF($E398="","","Mirror Ball 25 Pendant Gold EU")</f>
        <v>Mirror Ball 25 Pendant Gold EU</v>
      </c>
      <c r="G398" s="42">
        <f>IF($E398="","",350)</f>
        <v>350</v>
      </c>
      <c r="H398" s="7">
        <f>1</f>
        <v>1</v>
      </c>
      <c r="I398" s="5"/>
      <c r="J398" s="6"/>
      <c r="K398" s="6"/>
      <c r="L398" s="5"/>
      <c r="M398" s="5"/>
      <c r="N398" s="5"/>
      <c r="O398" s="3"/>
      <c r="P398" s="3"/>
    </row>
    <row r="399" spans="2:16" hidden="1" outlineLevel="1">
      <c r="B399" s="5" t="s">
        <v>227</v>
      </c>
      <c r="C399" s="5" t="str">
        <f>"Mirror Ball Gold Range Rnd EU"</f>
        <v>Mirror Ball Gold Range Rnd EU</v>
      </c>
      <c r="D399" s="42">
        <f>1495</f>
        <v>1495</v>
      </c>
      <c r="E399" s="5" t="s">
        <v>130</v>
      </c>
      <c r="F399" s="5" t="str">
        <f>IF($E399="","","Mirror Ball 40 Pendant Gold EU")</f>
        <v>Mirror Ball 40 Pendant Gold EU</v>
      </c>
      <c r="G399" s="42">
        <f>IF($E399="","",530)</f>
        <v>530</v>
      </c>
      <c r="H399" s="7">
        <f>1</f>
        <v>1</v>
      </c>
      <c r="I399" s="5"/>
      <c r="J399" s="6"/>
      <c r="K399" s="6"/>
      <c r="L399" s="5"/>
      <c r="M399" s="5"/>
      <c r="N399" s="5"/>
      <c r="O399" s="3"/>
      <c r="P399" s="3"/>
    </row>
    <row r="400" spans="2:16" hidden="1" outlineLevel="1">
      <c r="B400" s="5" t="s">
        <v>227</v>
      </c>
      <c r="C400" s="5" t="str">
        <f>"Mirror Ball Gold Range Rnd EU"</f>
        <v>Mirror Ball Gold Range Rnd EU</v>
      </c>
      <c r="D400" s="42">
        <f>1495</f>
        <v>1495</v>
      </c>
      <c r="E400" s="5" t="s">
        <v>129</v>
      </c>
      <c r="F400" s="5" t="str">
        <f>IF($E400="","","Mirror Ball 50 Pendant Gold EU")</f>
        <v>Mirror Ball 50 Pendant Gold EU</v>
      </c>
      <c r="G400" s="42">
        <f>IF($E400="","",615)</f>
        <v>615</v>
      </c>
      <c r="H400" s="7">
        <f>1</f>
        <v>1</v>
      </c>
      <c r="I400" s="5"/>
      <c r="J400" s="6"/>
      <c r="K400" s="6"/>
      <c r="L400" s="5"/>
      <c r="M400" s="5"/>
      <c r="N400" s="5"/>
      <c r="O400" s="3"/>
      <c r="P400" s="3"/>
    </row>
    <row r="401" spans="2:16" collapsed="1">
      <c r="B401" s="5" t="s">
        <v>227</v>
      </c>
      <c r="C401" s="5" t="str">
        <f>"Mirror Ball Gold Range Rnd EU"</f>
        <v>Mirror Ball Gold Range Rnd EU</v>
      </c>
      <c r="D401" s="42">
        <f>1495</f>
        <v>1495</v>
      </c>
      <c r="E401" s="5"/>
      <c r="F401" s="5"/>
      <c r="G401" s="42"/>
      <c r="H401" s="7"/>
      <c r="I401" s="5"/>
      <c r="J401" s="14"/>
      <c r="K401" s="14"/>
      <c r="L401" s="5"/>
      <c r="M401" s="5"/>
      <c r="N401" s="5"/>
      <c r="O401" s="3"/>
      <c r="P401" s="3"/>
    </row>
    <row r="402" spans="2:16" hidden="1" outlineLevel="1">
      <c r="B402" s="5" t="s">
        <v>228</v>
      </c>
      <c r="C402" s="5" t="str">
        <f>"Void Brass Mini Round PS EU"</f>
        <v>Void Brass Mini Round PS EU</v>
      </c>
      <c r="D402" s="42">
        <f>1125</f>
        <v>1125</v>
      </c>
      <c r="E402" s="5" t="s">
        <v>181</v>
      </c>
      <c r="F402" s="5" t="str">
        <f>IF($E402="","","Pendant System")</f>
        <v>Pendant System</v>
      </c>
      <c r="G402" s="42">
        <f>IF($E402="","",0)</f>
        <v>0</v>
      </c>
      <c r="H402" s="7">
        <f>1</f>
        <v>1</v>
      </c>
      <c r="I402" s="5"/>
      <c r="J402" s="6"/>
      <c r="K402" s="6"/>
      <c r="L402" s="5"/>
      <c r="M402" s="5"/>
      <c r="N402" s="5"/>
      <c r="O402" s="3"/>
      <c r="P402" s="3"/>
    </row>
    <row r="403" spans="2:16" hidden="1" outlineLevel="1">
      <c r="B403" s="5" t="s">
        <v>228</v>
      </c>
      <c r="C403" s="5" t="str">
        <f>"Void Brass Mini Round PS EU"</f>
        <v>Void Brass Mini Round PS EU</v>
      </c>
      <c r="D403" s="42">
        <f>1125</f>
        <v>1125</v>
      </c>
      <c r="E403" s="5" t="s">
        <v>151</v>
      </c>
      <c r="F403" s="5" t="str">
        <f>IF($E403="","","Void Mini Brass Pendant  EU")</f>
        <v>Void Mini Brass Pendant  EU</v>
      </c>
      <c r="G403" s="42">
        <f>IF($E403="","",225)</f>
        <v>225</v>
      </c>
      <c r="H403" s="7">
        <f>5</f>
        <v>5</v>
      </c>
      <c r="I403" s="5"/>
      <c r="J403" s="6"/>
      <c r="K403" s="6"/>
      <c r="L403" s="5"/>
      <c r="M403" s="5"/>
      <c r="N403" s="5"/>
      <c r="O403" s="3"/>
      <c r="P403" s="3"/>
    </row>
    <row r="404" spans="2:16" collapsed="1">
      <c r="B404" s="5" t="s">
        <v>228</v>
      </c>
      <c r="C404" s="5" t="str">
        <f>"Void Brass Mini Round PS EU"</f>
        <v>Void Brass Mini Round PS EU</v>
      </c>
      <c r="D404" s="42">
        <f>1125</f>
        <v>1125</v>
      </c>
      <c r="E404" s="5"/>
      <c r="F404" s="5"/>
      <c r="G404" s="42"/>
      <c r="H404" s="7"/>
      <c r="I404" s="5"/>
      <c r="J404" s="14"/>
      <c r="K404" s="14"/>
      <c r="L404" s="5"/>
      <c r="M404" s="5"/>
      <c r="N404" s="5"/>
      <c r="O404" s="3"/>
      <c r="P404" s="3"/>
    </row>
    <row r="405" spans="2:16" hidden="1" outlineLevel="1">
      <c r="B405" s="5" t="s">
        <v>229</v>
      </c>
      <c r="C405" s="5" t="str">
        <f>"Void Brass Range Round PS EU"</f>
        <v>Void Brass Range Round PS EU</v>
      </c>
      <c r="D405" s="42">
        <f>1435</f>
        <v>1435</v>
      </c>
      <c r="E405" s="5" t="s">
        <v>181</v>
      </c>
      <c r="F405" s="5" t="str">
        <f>IF($E405="","","Pendant System")</f>
        <v>Pendant System</v>
      </c>
      <c r="G405" s="42">
        <f>IF($E405="","",0)</f>
        <v>0</v>
      </c>
      <c r="H405" s="7">
        <f>1</f>
        <v>1</v>
      </c>
      <c r="I405" s="5"/>
      <c r="J405" s="6"/>
      <c r="K405" s="6"/>
      <c r="L405" s="5"/>
      <c r="M405" s="5"/>
      <c r="N405" s="5"/>
      <c r="O405" s="3"/>
      <c r="P405" s="3"/>
    </row>
    <row r="406" spans="2:16" hidden="1" outlineLevel="1">
      <c r="B406" s="5" t="s">
        <v>229</v>
      </c>
      <c r="C406" s="5" t="str">
        <f>"Void Brass Range Round PS EU"</f>
        <v>Void Brass Range Round PS EU</v>
      </c>
      <c r="D406" s="42">
        <f>1435</f>
        <v>1435</v>
      </c>
      <c r="E406" s="5" t="s">
        <v>149</v>
      </c>
      <c r="F406" s="5" t="str">
        <f>IF($E406="","","Void Brass Pendant EU")</f>
        <v>Void Brass Pendant EU</v>
      </c>
      <c r="G406" s="42">
        <f>IF($E406="","",380)</f>
        <v>380</v>
      </c>
      <c r="H406" s="7">
        <f>2</f>
        <v>2</v>
      </c>
      <c r="I406" s="5"/>
      <c r="J406" s="6"/>
      <c r="K406" s="6"/>
      <c r="L406" s="5"/>
      <c r="M406" s="5"/>
      <c r="N406" s="5"/>
      <c r="O406" s="3"/>
      <c r="P406" s="3"/>
    </row>
    <row r="407" spans="2:16" hidden="1" outlineLevel="1">
      <c r="B407" s="5" t="s">
        <v>229</v>
      </c>
      <c r="C407" s="5" t="str">
        <f>"Void Brass Range Round PS EU"</f>
        <v>Void Brass Range Round PS EU</v>
      </c>
      <c r="D407" s="42">
        <f>1435</f>
        <v>1435</v>
      </c>
      <c r="E407" s="5" t="s">
        <v>151</v>
      </c>
      <c r="F407" s="5" t="str">
        <f>IF($E407="","","Void Mini Brass Pendant  EU")</f>
        <v>Void Mini Brass Pendant  EU</v>
      </c>
      <c r="G407" s="42">
        <f>IF($E407="","",225)</f>
        <v>225</v>
      </c>
      <c r="H407" s="7">
        <f>3</f>
        <v>3</v>
      </c>
      <c r="I407" s="5"/>
      <c r="J407" s="6"/>
      <c r="K407" s="6"/>
      <c r="L407" s="5"/>
      <c r="M407" s="5"/>
      <c r="N407" s="5"/>
      <c r="O407" s="3"/>
      <c r="P407" s="3"/>
    </row>
    <row r="408" spans="2:16" collapsed="1">
      <c r="B408" s="5" t="s">
        <v>229</v>
      </c>
      <c r="C408" s="5" t="str">
        <f>"Void Brass Range Round PS EU"</f>
        <v>Void Brass Range Round PS EU</v>
      </c>
      <c r="D408" s="42">
        <f>1435</f>
        <v>1435</v>
      </c>
      <c r="E408" s="5"/>
      <c r="F408" s="5"/>
      <c r="G408" s="42"/>
      <c r="H408" s="7"/>
      <c r="I408" s="5"/>
      <c r="J408" s="14"/>
      <c r="K408" s="14"/>
      <c r="L408" s="5"/>
      <c r="M408" s="5"/>
      <c r="N408" s="5"/>
      <c r="O408" s="3"/>
      <c r="P408" s="3"/>
    </row>
    <row r="409" spans="2:16" hidden="1" outlineLevel="1">
      <c r="B409" s="5" t="s">
        <v>230</v>
      </c>
      <c r="C409" s="5" t="str">
        <f>"Void Brass Trio Round PS EU"</f>
        <v>Void Brass Trio Round PS EU</v>
      </c>
      <c r="D409" s="42">
        <f>1140</f>
        <v>1140</v>
      </c>
      <c r="E409" s="5" t="s">
        <v>181</v>
      </c>
      <c r="F409" s="5" t="str">
        <f>IF($E409="","","Pendant System")</f>
        <v>Pendant System</v>
      </c>
      <c r="G409" s="42">
        <f>IF($E409="","",0)</f>
        <v>0</v>
      </c>
      <c r="H409" s="7">
        <f>1</f>
        <v>1</v>
      </c>
      <c r="I409" s="5"/>
      <c r="J409" s="6"/>
      <c r="K409" s="6"/>
      <c r="L409" s="5"/>
      <c r="M409" s="5"/>
      <c r="N409" s="5"/>
      <c r="O409" s="3"/>
      <c r="P409" s="3"/>
    </row>
    <row r="410" spans="2:16" hidden="1" outlineLevel="1">
      <c r="B410" s="5" t="s">
        <v>230</v>
      </c>
      <c r="C410" s="5" t="str">
        <f>"Void Brass Trio Round PS EU"</f>
        <v>Void Brass Trio Round PS EU</v>
      </c>
      <c r="D410" s="42">
        <f>1140</f>
        <v>1140</v>
      </c>
      <c r="E410" s="5" t="s">
        <v>149</v>
      </c>
      <c r="F410" s="5" t="str">
        <f>IF($E410="","","Void Brass Pendant EU")</f>
        <v>Void Brass Pendant EU</v>
      </c>
      <c r="G410" s="42">
        <f>IF($E410="","",380)</f>
        <v>380</v>
      </c>
      <c r="H410" s="7">
        <f>3</f>
        <v>3</v>
      </c>
      <c r="I410" s="5"/>
      <c r="J410" s="6"/>
      <c r="K410" s="6"/>
      <c r="L410" s="5"/>
      <c r="M410" s="5"/>
      <c r="N410" s="5"/>
      <c r="O410" s="3"/>
      <c r="P410" s="3"/>
    </row>
    <row r="411" spans="2:16" collapsed="1">
      <c r="B411" s="5" t="s">
        <v>230</v>
      </c>
      <c r="C411" s="5" t="str">
        <f>"Void Brass Trio Round PS EU"</f>
        <v>Void Brass Trio Round PS EU</v>
      </c>
      <c r="D411" s="42">
        <f>1140</f>
        <v>1140</v>
      </c>
      <c r="E411" s="5"/>
      <c r="F411" s="5"/>
      <c r="G411" s="42"/>
      <c r="H411" s="7"/>
      <c r="I411" s="5"/>
      <c r="J411" s="14"/>
      <c r="K411" s="14"/>
      <c r="L411" s="5"/>
      <c r="M411" s="5"/>
      <c r="N411" s="5"/>
      <c r="O411" s="3"/>
      <c r="P411" s="3"/>
    </row>
    <row r="412" spans="2:16" hidden="1" outlineLevel="1">
      <c r="B412" s="5" t="s">
        <v>231</v>
      </c>
      <c r="C412" s="5" t="str">
        <f>"Void Copper Mini Round PS EU"</f>
        <v>Void Copper Mini Round PS EU</v>
      </c>
      <c r="D412" s="42">
        <f>1125</f>
        <v>1125</v>
      </c>
      <c r="E412" s="5" t="s">
        <v>181</v>
      </c>
      <c r="F412" s="5" t="str">
        <f>IF($E412="","","Pendant System")</f>
        <v>Pendant System</v>
      </c>
      <c r="G412" s="42">
        <f>IF($E412="","",0)</f>
        <v>0</v>
      </c>
      <c r="H412" s="7">
        <f>1</f>
        <v>1</v>
      </c>
      <c r="I412" s="5"/>
      <c r="J412" s="6"/>
      <c r="K412" s="6"/>
      <c r="L412" s="5"/>
      <c r="M412" s="5"/>
      <c r="N412" s="5"/>
      <c r="O412" s="3"/>
      <c r="P412" s="3"/>
    </row>
    <row r="413" spans="2:16" hidden="1" outlineLevel="1">
      <c r="B413" s="5" t="s">
        <v>231</v>
      </c>
      <c r="C413" s="5" t="str">
        <f>"Void Copper Mini Round PS EU"</f>
        <v>Void Copper Mini Round PS EU</v>
      </c>
      <c r="D413" s="42">
        <f>1125</f>
        <v>1125</v>
      </c>
      <c r="E413" s="5" t="s">
        <v>155</v>
      </c>
      <c r="F413" s="5" t="str">
        <f>IF($E413="","","Void Mini Copper Pendant EU")</f>
        <v>Void Mini Copper Pendant EU</v>
      </c>
      <c r="G413" s="42">
        <f>IF($E413="","",225)</f>
        <v>225</v>
      </c>
      <c r="H413" s="7">
        <f>5</f>
        <v>5</v>
      </c>
      <c r="I413" s="5"/>
      <c r="J413" s="6"/>
      <c r="K413" s="6"/>
      <c r="L413" s="5"/>
      <c r="M413" s="5"/>
      <c r="N413" s="5"/>
      <c r="O413" s="3"/>
      <c r="P413" s="3"/>
    </row>
    <row r="414" spans="2:16" collapsed="1">
      <c r="B414" s="5" t="s">
        <v>231</v>
      </c>
      <c r="C414" s="5" t="str">
        <f>"Void Copper Mini Round PS EU"</f>
        <v>Void Copper Mini Round PS EU</v>
      </c>
      <c r="D414" s="42">
        <f>1125</f>
        <v>1125</v>
      </c>
      <c r="E414" s="5"/>
      <c r="F414" s="5"/>
      <c r="G414" s="42"/>
      <c r="H414" s="7"/>
      <c r="I414" s="5"/>
      <c r="J414" s="14"/>
      <c r="K414" s="14"/>
      <c r="L414" s="5"/>
      <c r="M414" s="5"/>
      <c r="N414" s="5"/>
      <c r="O414" s="3"/>
      <c r="P414" s="3"/>
    </row>
    <row r="415" spans="2:16" hidden="1" outlineLevel="1">
      <c r="B415" s="5" t="s">
        <v>232</v>
      </c>
      <c r="C415" s="5" t="str">
        <f>"Void Copper Range Round PS EU"</f>
        <v>Void Copper Range Round PS EU</v>
      </c>
      <c r="D415" s="42">
        <f>1435</f>
        <v>1435</v>
      </c>
      <c r="E415" s="5" t="s">
        <v>181</v>
      </c>
      <c r="F415" s="5" t="str">
        <f>IF($E415="","","Pendant System")</f>
        <v>Pendant System</v>
      </c>
      <c r="G415" s="42">
        <f>IF($E415="","",0)</f>
        <v>0</v>
      </c>
      <c r="H415" s="7">
        <f>1</f>
        <v>1</v>
      </c>
      <c r="I415" s="5"/>
      <c r="J415" s="6"/>
      <c r="K415" s="6"/>
      <c r="L415" s="5"/>
      <c r="M415" s="5"/>
      <c r="N415" s="5"/>
      <c r="O415" s="3"/>
      <c r="P415" s="3"/>
    </row>
    <row r="416" spans="2:16" hidden="1" outlineLevel="1">
      <c r="B416" s="5" t="s">
        <v>232</v>
      </c>
      <c r="C416" s="5" t="str">
        <f>"Void Copper Range Round PS EU"</f>
        <v>Void Copper Range Round PS EU</v>
      </c>
      <c r="D416" s="42">
        <f>1435</f>
        <v>1435</v>
      </c>
      <c r="E416" s="5" t="s">
        <v>153</v>
      </c>
      <c r="F416" s="5" t="str">
        <f>IF($E416="","","Void Copper Pendant EU")</f>
        <v>Void Copper Pendant EU</v>
      </c>
      <c r="G416" s="42">
        <f>IF($E416="","",380)</f>
        <v>380</v>
      </c>
      <c r="H416" s="7">
        <f>2</f>
        <v>2</v>
      </c>
      <c r="I416" s="5"/>
      <c r="J416" s="6"/>
      <c r="K416" s="6"/>
      <c r="L416" s="5"/>
      <c r="M416" s="5"/>
      <c r="N416" s="5"/>
      <c r="O416" s="3"/>
      <c r="P416" s="3"/>
    </row>
    <row r="417" spans="2:16" hidden="1" outlineLevel="1">
      <c r="B417" s="5" t="s">
        <v>232</v>
      </c>
      <c r="C417" s="5" t="str">
        <f>"Void Copper Range Round PS EU"</f>
        <v>Void Copper Range Round PS EU</v>
      </c>
      <c r="D417" s="42">
        <f>1435</f>
        <v>1435</v>
      </c>
      <c r="E417" s="5" t="s">
        <v>155</v>
      </c>
      <c r="F417" s="5" t="str">
        <f>IF($E417="","","Void Mini Copper Pendant EU")</f>
        <v>Void Mini Copper Pendant EU</v>
      </c>
      <c r="G417" s="42">
        <f>IF($E417="","",225)</f>
        <v>225</v>
      </c>
      <c r="H417" s="7">
        <f>3</f>
        <v>3</v>
      </c>
      <c r="I417" s="5"/>
      <c r="J417" s="6"/>
      <c r="K417" s="6"/>
      <c r="L417" s="5"/>
      <c r="M417" s="5"/>
      <c r="N417" s="5"/>
      <c r="O417" s="3"/>
      <c r="P417" s="3"/>
    </row>
    <row r="418" spans="2:16" collapsed="1">
      <c r="B418" s="5" t="s">
        <v>232</v>
      </c>
      <c r="C418" s="5" t="str">
        <f>"Void Copper Range Round PS EU"</f>
        <v>Void Copper Range Round PS EU</v>
      </c>
      <c r="D418" s="42">
        <f>1435</f>
        <v>1435</v>
      </c>
      <c r="E418" s="5"/>
      <c r="F418" s="5"/>
      <c r="G418" s="42"/>
      <c r="H418" s="7"/>
      <c r="I418" s="5"/>
      <c r="J418" s="14"/>
      <c r="K418" s="14"/>
      <c r="L418" s="5"/>
      <c r="M418" s="5"/>
      <c r="N418" s="5"/>
      <c r="O418" s="3"/>
      <c r="P418" s="3"/>
    </row>
    <row r="419" spans="2:16" hidden="1" outlineLevel="1">
      <c r="B419" s="5" t="s">
        <v>233</v>
      </c>
      <c r="C419" s="5" t="str">
        <f>"Void Copper Trio Round PS EU"</f>
        <v>Void Copper Trio Round PS EU</v>
      </c>
      <c r="D419" s="42">
        <f>1140</f>
        <v>1140</v>
      </c>
      <c r="E419" s="5" t="s">
        <v>181</v>
      </c>
      <c r="F419" s="5" t="str">
        <f>IF($E419="","","Pendant System")</f>
        <v>Pendant System</v>
      </c>
      <c r="G419" s="42">
        <f>IF($E419="","",0)</f>
        <v>0</v>
      </c>
      <c r="H419" s="7">
        <f>1</f>
        <v>1</v>
      </c>
      <c r="I419" s="5"/>
      <c r="J419" s="6"/>
      <c r="K419" s="6"/>
      <c r="L419" s="5"/>
      <c r="M419" s="5"/>
      <c r="N419" s="5"/>
      <c r="O419" s="3"/>
      <c r="P419" s="3"/>
    </row>
    <row r="420" spans="2:16" hidden="1" outlineLevel="1">
      <c r="B420" s="5" t="s">
        <v>233</v>
      </c>
      <c r="C420" s="5" t="str">
        <f>"Void Copper Trio Round PS EU"</f>
        <v>Void Copper Trio Round PS EU</v>
      </c>
      <c r="D420" s="42">
        <f>1140</f>
        <v>1140</v>
      </c>
      <c r="E420" s="5" t="s">
        <v>153</v>
      </c>
      <c r="F420" s="5" t="str">
        <f>IF($E420="","","Void Copper Pendant EU")</f>
        <v>Void Copper Pendant EU</v>
      </c>
      <c r="G420" s="42">
        <f>IF($E420="","",380)</f>
        <v>380</v>
      </c>
      <c r="H420" s="7">
        <f>3</f>
        <v>3</v>
      </c>
      <c r="I420" s="5"/>
      <c r="J420" s="6"/>
      <c r="K420" s="6"/>
      <c r="L420" s="5"/>
      <c r="M420" s="5"/>
      <c r="N420" s="5"/>
      <c r="O420" s="3"/>
      <c r="P420" s="3"/>
    </row>
    <row r="421" spans="2:16" collapsed="1">
      <c r="B421" s="5" t="s">
        <v>233</v>
      </c>
      <c r="C421" s="5" t="str">
        <f>"Void Copper Trio Round PS EU"</f>
        <v>Void Copper Trio Round PS EU</v>
      </c>
      <c r="D421" s="42">
        <f>1140</f>
        <v>1140</v>
      </c>
      <c r="E421" s="5"/>
      <c r="F421" s="5"/>
      <c r="G421" s="42"/>
      <c r="H421" s="7"/>
      <c r="I421" s="5"/>
      <c r="J421" s="14"/>
      <c r="K421" s="14"/>
      <c r="L421" s="5"/>
      <c r="M421" s="5"/>
      <c r="N421" s="5"/>
      <c r="O421" s="3"/>
      <c r="P421" s="3"/>
    </row>
    <row r="422" spans="2:16" hidden="1" outlineLevel="1">
      <c r="B422" s="5" t="s">
        <v>234</v>
      </c>
      <c r="C422" s="5" t="str">
        <f>"Void Steel Mini Round PS EU"</f>
        <v>Void Steel Mini Round PS EU</v>
      </c>
      <c r="D422" s="42">
        <f>1125</f>
        <v>1125</v>
      </c>
      <c r="E422" s="5" t="s">
        <v>181</v>
      </c>
      <c r="F422" s="5" t="str">
        <f>IF($E422="","","Pendant System")</f>
        <v>Pendant System</v>
      </c>
      <c r="G422" s="42">
        <f>IF($E422="","",0)</f>
        <v>0</v>
      </c>
      <c r="H422" s="7">
        <f>1</f>
        <v>1</v>
      </c>
      <c r="I422" s="5"/>
      <c r="J422" s="6"/>
      <c r="K422" s="6"/>
      <c r="L422" s="5"/>
      <c r="M422" s="5"/>
      <c r="N422" s="5"/>
      <c r="O422" s="3"/>
      <c r="P422" s="3"/>
    </row>
    <row r="423" spans="2:16" hidden="1" outlineLevel="1">
      <c r="B423" s="5" t="s">
        <v>234</v>
      </c>
      <c r="C423" s="5" t="str">
        <f>"Void Steel Mini Round PS EU"</f>
        <v>Void Steel Mini Round PS EU</v>
      </c>
      <c r="D423" s="42">
        <f>1125</f>
        <v>1125</v>
      </c>
      <c r="E423" s="5" t="s">
        <v>159</v>
      </c>
      <c r="F423" s="5" t="str">
        <f>IF($E423="","","Void Mini Steel Pendant EU")</f>
        <v>Void Mini Steel Pendant EU</v>
      </c>
      <c r="G423" s="42">
        <f>IF($E423="","",225)</f>
        <v>225</v>
      </c>
      <c r="H423" s="7">
        <f>5</f>
        <v>5</v>
      </c>
      <c r="I423" s="5"/>
      <c r="J423" s="6"/>
      <c r="K423" s="6"/>
      <c r="L423" s="5"/>
      <c r="M423" s="5"/>
      <c r="N423" s="5"/>
      <c r="O423" s="3"/>
      <c r="P423" s="3"/>
    </row>
    <row r="424" spans="2:16" collapsed="1">
      <c r="B424" s="5" t="s">
        <v>234</v>
      </c>
      <c r="C424" s="5" t="str">
        <f>"Void Steel Mini Round PS EU"</f>
        <v>Void Steel Mini Round PS EU</v>
      </c>
      <c r="D424" s="42">
        <f>1125</f>
        <v>1125</v>
      </c>
      <c r="E424" s="5"/>
      <c r="F424" s="5"/>
      <c r="G424" s="42"/>
      <c r="H424" s="7"/>
      <c r="I424" s="5"/>
      <c r="J424" s="14"/>
      <c r="K424" s="14"/>
      <c r="L424" s="5"/>
      <c r="M424" s="5"/>
      <c r="N424" s="5"/>
      <c r="O424" s="3"/>
      <c r="P424" s="3"/>
    </row>
    <row r="425" spans="2:16" hidden="1" outlineLevel="1">
      <c r="B425" s="5" t="s">
        <v>235</v>
      </c>
      <c r="C425" s="5" t="str">
        <f>"Void Steel Range Round PS EU"</f>
        <v>Void Steel Range Round PS EU</v>
      </c>
      <c r="D425" s="42">
        <f>1435</f>
        <v>1435</v>
      </c>
      <c r="E425" s="5" t="s">
        <v>181</v>
      </c>
      <c r="F425" s="5" t="str">
        <f>IF($E425="","","Pendant System")</f>
        <v>Pendant System</v>
      </c>
      <c r="G425" s="42">
        <f>IF($E425="","",0)</f>
        <v>0</v>
      </c>
      <c r="H425" s="7">
        <f>1</f>
        <v>1</v>
      </c>
      <c r="I425" s="5"/>
      <c r="J425" s="6"/>
      <c r="K425" s="6"/>
      <c r="L425" s="5"/>
      <c r="M425" s="5"/>
      <c r="N425" s="5"/>
      <c r="O425" s="3"/>
      <c r="P425" s="3"/>
    </row>
    <row r="426" spans="2:16" hidden="1" outlineLevel="1">
      <c r="B426" s="5" t="s">
        <v>235</v>
      </c>
      <c r="C426" s="5" t="str">
        <f>"Void Steel Range Round PS EU"</f>
        <v>Void Steel Range Round PS EU</v>
      </c>
      <c r="D426" s="42">
        <f>1435</f>
        <v>1435</v>
      </c>
      <c r="E426" s="5" t="s">
        <v>157</v>
      </c>
      <c r="F426" s="5" t="str">
        <f>IF($E426="","","Void Steel Pendant EU")</f>
        <v>Void Steel Pendant EU</v>
      </c>
      <c r="G426" s="42">
        <f>IF($E426="","",380)</f>
        <v>380</v>
      </c>
      <c r="H426" s="7">
        <f>2</f>
        <v>2</v>
      </c>
      <c r="I426" s="5"/>
      <c r="J426" s="6"/>
      <c r="K426" s="6"/>
      <c r="L426" s="5"/>
      <c r="M426" s="5"/>
      <c r="N426" s="5"/>
      <c r="O426" s="3"/>
      <c r="P426" s="3"/>
    </row>
    <row r="427" spans="2:16" hidden="1" outlineLevel="1">
      <c r="B427" s="5" t="s">
        <v>235</v>
      </c>
      <c r="C427" s="5" t="str">
        <f>"Void Steel Range Round PS EU"</f>
        <v>Void Steel Range Round PS EU</v>
      </c>
      <c r="D427" s="42">
        <f>1435</f>
        <v>1435</v>
      </c>
      <c r="E427" s="5" t="s">
        <v>159</v>
      </c>
      <c r="F427" s="5" t="str">
        <f>IF($E427="","","Void Mini Steel Pendant EU")</f>
        <v>Void Mini Steel Pendant EU</v>
      </c>
      <c r="G427" s="42">
        <f>IF($E427="","",225)</f>
        <v>225</v>
      </c>
      <c r="H427" s="7">
        <f>3</f>
        <v>3</v>
      </c>
      <c r="I427" s="5"/>
      <c r="J427" s="6"/>
      <c r="K427" s="6"/>
      <c r="L427" s="5"/>
      <c r="M427" s="5"/>
      <c r="N427" s="5"/>
      <c r="O427" s="3"/>
      <c r="P427" s="3"/>
    </row>
    <row r="428" spans="2:16" collapsed="1">
      <c r="B428" s="5" t="s">
        <v>235</v>
      </c>
      <c r="C428" s="5" t="str">
        <f>"Void Steel Range Round PS EU"</f>
        <v>Void Steel Range Round PS EU</v>
      </c>
      <c r="D428" s="42">
        <f>1435</f>
        <v>1435</v>
      </c>
      <c r="E428" s="5"/>
      <c r="F428" s="5"/>
      <c r="G428" s="42"/>
      <c r="H428" s="7"/>
      <c r="I428" s="5"/>
      <c r="J428" s="14"/>
      <c r="K428" s="14"/>
      <c r="L428" s="5"/>
      <c r="M428" s="5"/>
      <c r="N428" s="5"/>
      <c r="O428" s="3"/>
      <c r="P428" s="3"/>
    </row>
    <row r="429" spans="2:16" hidden="1" outlineLevel="1">
      <c r="B429" s="5" t="s">
        <v>236</v>
      </c>
      <c r="C429" s="5" t="str">
        <f>"Void Steel Trio Round PS EU"</f>
        <v>Void Steel Trio Round PS EU</v>
      </c>
      <c r="D429" s="42">
        <f>1140</f>
        <v>1140</v>
      </c>
      <c r="E429" s="5" t="s">
        <v>181</v>
      </c>
      <c r="F429" s="5" t="str">
        <f>IF($E429="","","Pendant System")</f>
        <v>Pendant System</v>
      </c>
      <c r="G429" s="42">
        <f>IF($E429="","",0)</f>
        <v>0</v>
      </c>
      <c r="H429" s="7">
        <f>1</f>
        <v>1</v>
      </c>
      <c r="I429" s="5"/>
      <c r="J429" s="6"/>
      <c r="K429" s="6"/>
      <c r="L429" s="5"/>
      <c r="M429" s="5"/>
      <c r="N429" s="5"/>
      <c r="O429" s="3"/>
      <c r="P429" s="3"/>
    </row>
    <row r="430" spans="2:16" hidden="1" outlineLevel="1">
      <c r="B430" s="5" t="s">
        <v>236</v>
      </c>
      <c r="C430" s="5" t="str">
        <f>"Void Steel Trio Round PS EU"</f>
        <v>Void Steel Trio Round PS EU</v>
      </c>
      <c r="D430" s="42">
        <f>1140</f>
        <v>1140</v>
      </c>
      <c r="E430" s="5" t="s">
        <v>157</v>
      </c>
      <c r="F430" s="5" t="str">
        <f>IF($E430="","","Void Steel Pendant EU")</f>
        <v>Void Steel Pendant EU</v>
      </c>
      <c r="G430" s="42">
        <f>IF($E430="","",380)</f>
        <v>380</v>
      </c>
      <c r="H430" s="7">
        <f>3</f>
        <v>3</v>
      </c>
      <c r="I430" s="5"/>
      <c r="J430" s="6"/>
      <c r="K430" s="6"/>
      <c r="L430" s="5"/>
      <c r="M430" s="5"/>
      <c r="N430" s="5"/>
      <c r="O430" s="3"/>
      <c r="P430" s="3"/>
    </row>
    <row r="431" spans="2:16" collapsed="1">
      <c r="B431" s="5" t="s">
        <v>236</v>
      </c>
      <c r="C431" s="5" t="str">
        <f>"Void Steel Trio Round PS EU"</f>
        <v>Void Steel Trio Round PS EU</v>
      </c>
      <c r="D431" s="42">
        <f>1140</f>
        <v>1140</v>
      </c>
      <c r="E431" s="5"/>
      <c r="F431" s="5"/>
      <c r="G431" s="42"/>
      <c r="H431" s="7"/>
      <c r="I431" s="5"/>
      <c r="J431" s="14"/>
      <c r="K431" s="14"/>
      <c r="L431" s="5"/>
      <c r="M431" s="5"/>
      <c r="N431" s="5"/>
      <c r="O431" s="3"/>
      <c r="P431" s="3"/>
    </row>
    <row r="432" spans="2:16" hidden="1" outlineLevel="1">
      <c r="B432" s="5" t="s">
        <v>237</v>
      </c>
      <c r="C432" s="5" t="str">
        <f>"Top Silver Linear PS EU"</f>
        <v>Top Silver Linear PS EU</v>
      </c>
      <c r="D432" s="42">
        <f>3200</f>
        <v>3200</v>
      </c>
      <c r="E432" s="5" t="s">
        <v>179</v>
      </c>
      <c r="F432" s="5" t="str">
        <f>IF($E432="","","Linear Pendant System")</f>
        <v>Linear Pendant System</v>
      </c>
      <c r="G432" s="42">
        <f>IF($E432="","",0)</f>
        <v>0</v>
      </c>
      <c r="H432" s="7">
        <f>1</f>
        <v>1</v>
      </c>
      <c r="I432" s="5"/>
      <c r="J432" s="6"/>
      <c r="K432" s="6"/>
      <c r="L432" s="5"/>
      <c r="M432" s="5"/>
      <c r="N432" s="5"/>
      <c r="O432" s="3"/>
      <c r="P432" s="3"/>
    </row>
    <row r="433" spans="2:16" hidden="1" outlineLevel="1">
      <c r="B433" s="5" t="s">
        <v>237</v>
      </c>
      <c r="C433" s="5" t="str">
        <f>"Top Silver Linear PS EU"</f>
        <v>Top Silver Linear PS EU</v>
      </c>
      <c r="D433" s="42">
        <f>3200</f>
        <v>3200</v>
      </c>
      <c r="E433" s="5" t="s">
        <v>148</v>
      </c>
      <c r="F433" s="5" t="str">
        <f>IF($E433="","","Top Silver Pendant EU")</f>
        <v>Top Silver Pendant EU</v>
      </c>
      <c r="G433" s="42">
        <f>IF($E433="","",640)</f>
        <v>640</v>
      </c>
      <c r="H433" s="7">
        <f>5</f>
        <v>5</v>
      </c>
      <c r="I433" s="5"/>
      <c r="J433" s="6"/>
      <c r="K433" s="6"/>
      <c r="L433" s="5"/>
      <c r="M433" s="5"/>
      <c r="N433" s="5"/>
      <c r="O433" s="3"/>
      <c r="P433" s="3"/>
    </row>
    <row r="434" spans="2:16" collapsed="1">
      <c r="B434" s="5" t="s">
        <v>237</v>
      </c>
      <c r="C434" s="5" t="str">
        <f>"Top Silver Linear PS EU"</f>
        <v>Top Silver Linear PS EU</v>
      </c>
      <c r="D434" s="42">
        <f>3200</f>
        <v>3200</v>
      </c>
      <c r="E434" s="5"/>
      <c r="F434" s="5"/>
      <c r="G434" s="42"/>
      <c r="H434" s="7"/>
      <c r="I434" s="5"/>
      <c r="J434" s="14"/>
      <c r="K434" s="14"/>
      <c r="L434" s="5"/>
      <c r="M434" s="5"/>
      <c r="N434" s="5"/>
      <c r="O434" s="3"/>
      <c r="P434" s="3"/>
    </row>
    <row r="435" spans="2:16" hidden="1" outlineLevel="1">
      <c r="B435" s="5" t="s">
        <v>238</v>
      </c>
      <c r="C435" s="5" t="str">
        <f>"Cut Gold Mega PS EU"</f>
        <v>Cut Gold Mega PS EU</v>
      </c>
      <c r="D435" s="42">
        <f>9550</f>
        <v>9550</v>
      </c>
      <c r="E435" s="5" t="s">
        <v>93</v>
      </c>
      <c r="F435" s="5" t="str">
        <f>IF($E435="","","Cut Short Gold Pendant EU")</f>
        <v>Cut Short Gold Pendant EU</v>
      </c>
      <c r="G435" s="42">
        <f>IF($E435="","",600)</f>
        <v>600</v>
      </c>
      <c r="H435" s="7">
        <f>8</f>
        <v>8</v>
      </c>
      <c r="I435" s="5"/>
      <c r="J435" s="6"/>
      <c r="K435" s="6"/>
      <c r="L435" s="5"/>
      <c r="M435" s="5"/>
      <c r="N435" s="5"/>
      <c r="O435" s="3"/>
      <c r="P435" s="3"/>
    </row>
    <row r="436" spans="2:16" hidden="1" outlineLevel="1">
      <c r="B436" s="5" t="s">
        <v>238</v>
      </c>
      <c r="C436" s="5" t="str">
        <f>"Cut Gold Mega PS EU"</f>
        <v>Cut Gold Mega PS EU</v>
      </c>
      <c r="D436" s="42">
        <f>9550</f>
        <v>9550</v>
      </c>
      <c r="E436" s="5" t="s">
        <v>94</v>
      </c>
      <c r="F436" s="5" t="str">
        <f>IF($E436="","","Cut Tall Gold Pendant EU")</f>
        <v>Cut Tall Gold Pendant EU</v>
      </c>
      <c r="G436" s="42">
        <f>IF($E436="","",680)</f>
        <v>680</v>
      </c>
      <c r="H436" s="7">
        <f>5</f>
        <v>5</v>
      </c>
      <c r="I436" s="5"/>
      <c r="J436" s="6"/>
      <c r="K436" s="6"/>
      <c r="L436" s="5"/>
      <c r="M436" s="5"/>
      <c r="N436" s="5"/>
      <c r="O436" s="3"/>
      <c r="P436" s="3"/>
    </row>
    <row r="437" spans="2:16" hidden="1" outlineLevel="1">
      <c r="B437" s="5" t="s">
        <v>238</v>
      </c>
      <c r="C437" s="5" t="str">
        <f>"Cut Gold Mega PS EU"</f>
        <v>Cut Gold Mega PS EU</v>
      </c>
      <c r="D437" s="42">
        <f>9550</f>
        <v>9550</v>
      </c>
      <c r="E437" s="5" t="s">
        <v>196</v>
      </c>
      <c r="F437" s="5" t="str">
        <f>IF($E437="","","Mega Pendant System Round EU")</f>
        <v>Mega Pendant System Round EU</v>
      </c>
      <c r="G437" s="42">
        <f>IF($E437="","",1350)</f>
        <v>1350</v>
      </c>
      <c r="H437" s="7">
        <f>1</f>
        <v>1</v>
      </c>
      <c r="I437" s="5"/>
      <c r="J437" s="6"/>
      <c r="K437" s="6"/>
      <c r="L437" s="5"/>
      <c r="M437" s="5"/>
      <c r="N437" s="5"/>
      <c r="O437" s="3"/>
      <c r="P437" s="3"/>
    </row>
    <row r="438" spans="2:16" collapsed="1">
      <c r="B438" s="5" t="s">
        <v>238</v>
      </c>
      <c r="C438" s="5" t="str">
        <f>"Cut Gold Mega PS EU"</f>
        <v>Cut Gold Mega PS EU</v>
      </c>
      <c r="D438" s="42">
        <f>9550</f>
        <v>9550</v>
      </c>
      <c r="E438" s="5"/>
      <c r="F438" s="5"/>
      <c r="G438" s="42"/>
      <c r="H438" s="7"/>
      <c r="I438" s="5"/>
      <c r="J438" s="14"/>
      <c r="K438" s="14"/>
      <c r="L438" s="5"/>
      <c r="M438" s="5"/>
      <c r="N438" s="5"/>
      <c r="O438" s="3"/>
      <c r="P438" s="3"/>
    </row>
    <row r="439" spans="2:16" hidden="1" outlineLevel="1">
      <c r="B439" s="5" t="s">
        <v>239</v>
      </c>
      <c r="C439" s="5" t="str">
        <f>"Cut Trio Gold round PS EU"</f>
        <v>Cut Trio Gold round PS EU</v>
      </c>
      <c r="D439" s="42">
        <f>1880</f>
        <v>1880</v>
      </c>
      <c r="E439" s="5" t="s">
        <v>181</v>
      </c>
      <c r="F439" s="5" t="str">
        <f>IF($E439="","","Pendant System")</f>
        <v>Pendant System</v>
      </c>
      <c r="G439" s="42">
        <f>IF($E439="","",0)</f>
        <v>0</v>
      </c>
      <c r="H439" s="7">
        <f>1</f>
        <v>1</v>
      </c>
      <c r="I439" s="5"/>
      <c r="J439" s="6"/>
      <c r="K439" s="6"/>
      <c r="L439" s="5"/>
      <c r="M439" s="5"/>
      <c r="N439" s="5"/>
      <c r="O439" s="3"/>
      <c r="P439" s="3"/>
    </row>
    <row r="440" spans="2:16" hidden="1" outlineLevel="1">
      <c r="B440" s="5" t="s">
        <v>239</v>
      </c>
      <c r="C440" s="5" t="str">
        <f>"Cut Trio Gold round PS EU"</f>
        <v>Cut Trio Gold round PS EU</v>
      </c>
      <c r="D440" s="42">
        <f>1880</f>
        <v>1880</v>
      </c>
      <c r="E440" s="5" t="s">
        <v>93</v>
      </c>
      <c r="F440" s="5" t="str">
        <f>IF($E440="","","Cut Short Gold Pendant EU")</f>
        <v>Cut Short Gold Pendant EU</v>
      </c>
      <c r="G440" s="42">
        <f>IF($E440="","",600)</f>
        <v>600</v>
      </c>
      <c r="H440" s="7">
        <f>2</f>
        <v>2</v>
      </c>
      <c r="I440" s="5"/>
      <c r="J440" s="6"/>
      <c r="K440" s="6"/>
      <c r="L440" s="5"/>
      <c r="M440" s="5"/>
      <c r="N440" s="5"/>
      <c r="O440" s="3"/>
      <c r="P440" s="3"/>
    </row>
    <row r="441" spans="2:16" hidden="1" outlineLevel="1">
      <c r="B441" s="5" t="s">
        <v>239</v>
      </c>
      <c r="C441" s="5" t="str">
        <f>"Cut Trio Gold round PS EU"</f>
        <v>Cut Trio Gold round PS EU</v>
      </c>
      <c r="D441" s="42">
        <f>1880</f>
        <v>1880</v>
      </c>
      <c r="E441" s="5" t="s">
        <v>94</v>
      </c>
      <c r="F441" s="5" t="str">
        <f>IF($E441="","","Cut Tall Gold Pendant EU")</f>
        <v>Cut Tall Gold Pendant EU</v>
      </c>
      <c r="G441" s="42">
        <f>IF($E441="","",680)</f>
        <v>680</v>
      </c>
      <c r="H441" s="7">
        <f>1</f>
        <v>1</v>
      </c>
      <c r="I441" s="5"/>
      <c r="J441" s="6"/>
      <c r="K441" s="6"/>
      <c r="L441" s="5"/>
      <c r="M441" s="5"/>
      <c r="N441" s="5"/>
      <c r="O441" s="3"/>
      <c r="P441" s="3"/>
    </row>
    <row r="442" spans="2:16" collapsed="1">
      <c r="B442" s="5" t="s">
        <v>239</v>
      </c>
      <c r="C442" s="5" t="str">
        <f>"Cut Trio Gold round PS EU"</f>
        <v>Cut Trio Gold round PS EU</v>
      </c>
      <c r="D442" s="42">
        <f>1880</f>
        <v>1880</v>
      </c>
      <c r="E442" s="5"/>
      <c r="F442" s="5"/>
      <c r="G442" s="42"/>
      <c r="H442" s="7"/>
      <c r="I442" s="5"/>
      <c r="J442" s="14"/>
      <c r="K442" s="14"/>
      <c r="L442" s="5"/>
      <c r="M442" s="5"/>
      <c r="N442" s="5"/>
      <c r="O442" s="3"/>
      <c r="P442" s="3"/>
    </row>
    <row r="443" spans="2:16" hidden="1" outlineLevel="1">
      <c r="B443" s="5" t="s">
        <v>240</v>
      </c>
      <c r="C443" s="5" t="str">
        <f>"Cut Trio Chrome round PS EU"</f>
        <v>Cut Trio Chrome round PS EU</v>
      </c>
      <c r="D443" s="42">
        <f>1880</f>
        <v>1880</v>
      </c>
      <c r="E443" s="5" t="s">
        <v>181</v>
      </c>
      <c r="F443" s="5" t="str">
        <f>IF($E443="","","Pendant System")</f>
        <v>Pendant System</v>
      </c>
      <c r="G443" s="42">
        <f>IF($E443="","",0)</f>
        <v>0</v>
      </c>
      <c r="H443" s="7">
        <f>1</f>
        <v>1</v>
      </c>
      <c r="I443" s="5"/>
      <c r="J443" s="6"/>
      <c r="K443" s="6"/>
      <c r="L443" s="5"/>
      <c r="M443" s="5"/>
      <c r="N443" s="5"/>
      <c r="O443" s="3"/>
      <c r="P443" s="3"/>
    </row>
    <row r="444" spans="2:16" hidden="1" outlineLevel="1">
      <c r="B444" s="5" t="s">
        <v>240</v>
      </c>
      <c r="C444" s="5" t="str">
        <f>"Cut Trio Chrome round PS EU"</f>
        <v>Cut Trio Chrome round PS EU</v>
      </c>
      <c r="D444" s="42">
        <f>1880</f>
        <v>1880</v>
      </c>
      <c r="E444" s="5" t="s">
        <v>91</v>
      </c>
      <c r="F444" s="5" t="str">
        <f>IF($E444="","","Cut Short Chrome Pendant EU")</f>
        <v>Cut Short Chrome Pendant EU</v>
      </c>
      <c r="G444" s="42">
        <f>IF($E444="","",600)</f>
        <v>600</v>
      </c>
      <c r="H444" s="7">
        <f>2</f>
        <v>2</v>
      </c>
      <c r="I444" s="5"/>
      <c r="J444" s="6"/>
      <c r="K444" s="6"/>
      <c r="L444" s="5"/>
      <c r="M444" s="5"/>
      <c r="N444" s="5"/>
      <c r="O444" s="3"/>
      <c r="P444" s="3"/>
    </row>
    <row r="445" spans="2:16" hidden="1" outlineLevel="1">
      <c r="B445" s="5" t="s">
        <v>240</v>
      </c>
      <c r="C445" s="5" t="str">
        <f>"Cut Trio Chrome round PS EU"</f>
        <v>Cut Trio Chrome round PS EU</v>
      </c>
      <c r="D445" s="42">
        <f>1880</f>
        <v>1880</v>
      </c>
      <c r="E445" s="5" t="s">
        <v>92</v>
      </c>
      <c r="F445" s="5" t="str">
        <f>IF($E445="","","Cut Tall Chrome Pendant EU")</f>
        <v>Cut Tall Chrome Pendant EU</v>
      </c>
      <c r="G445" s="42">
        <f>IF($E445="","",680)</f>
        <v>680</v>
      </c>
      <c r="H445" s="7">
        <f>1</f>
        <v>1</v>
      </c>
      <c r="I445" s="5"/>
      <c r="J445" s="6"/>
      <c r="K445" s="6"/>
      <c r="L445" s="5"/>
      <c r="M445" s="5"/>
      <c r="N445" s="5"/>
      <c r="O445" s="3"/>
      <c r="P445" s="3"/>
    </row>
    <row r="446" spans="2:16" collapsed="1">
      <c r="B446" s="5" t="s">
        <v>240</v>
      </c>
      <c r="C446" s="5" t="str">
        <f>"Cut Trio Chrome round PS EU"</f>
        <v>Cut Trio Chrome round PS EU</v>
      </c>
      <c r="D446" s="42">
        <f>1880</f>
        <v>1880</v>
      </c>
      <c r="E446" s="5"/>
      <c r="F446" s="5"/>
      <c r="G446" s="42"/>
      <c r="H446" s="7"/>
      <c r="I446" s="5"/>
      <c r="J446" s="14"/>
      <c r="K446" s="14"/>
      <c r="L446" s="5"/>
      <c r="M446" s="5"/>
      <c r="N446" s="5"/>
      <c r="O446" s="3"/>
      <c r="P446" s="3"/>
    </row>
    <row r="447" spans="2:16" hidden="1" outlineLevel="1">
      <c r="B447" s="5" t="s">
        <v>241</v>
      </c>
      <c r="C447" s="5" t="str">
        <f>"Etch Black 32cm Round EU"</f>
        <v>Etch Black 32cm Round EU</v>
      </c>
      <c r="D447" s="42">
        <f>2050</f>
        <v>2050</v>
      </c>
      <c r="E447" s="5" t="s">
        <v>181</v>
      </c>
      <c r="F447" s="5" t="str">
        <f>IF($E447="","","Pendant System")</f>
        <v>Pendant System</v>
      </c>
      <c r="G447" s="42">
        <f>IF($E447="","",0)</f>
        <v>0</v>
      </c>
      <c r="H447" s="7">
        <f>1</f>
        <v>1</v>
      </c>
      <c r="I447" s="5"/>
      <c r="J447" s="6"/>
      <c r="K447" s="6"/>
      <c r="L447" s="5"/>
      <c r="M447" s="5"/>
      <c r="N447" s="5"/>
      <c r="O447" s="3"/>
      <c r="P447" s="3"/>
    </row>
    <row r="448" spans="2:16" hidden="1" outlineLevel="1">
      <c r="B448" s="5" t="s">
        <v>241</v>
      </c>
      <c r="C448" s="5" t="str">
        <f>"Etch Black 32cm Round EU"</f>
        <v>Etch Black 32cm Round EU</v>
      </c>
      <c r="D448" s="42">
        <f>2050</f>
        <v>2050</v>
      </c>
      <c r="E448" s="5" t="s">
        <v>101</v>
      </c>
      <c r="F448" s="5" t="str">
        <f>IF($E448="","","Etch Black Pendant EU")</f>
        <v>Etch Black Pendant EU</v>
      </c>
      <c r="G448" s="42">
        <f>IF($E448="","",410)</f>
        <v>410</v>
      </c>
      <c r="H448" s="7">
        <f>5</f>
        <v>5</v>
      </c>
      <c r="I448" s="5"/>
      <c r="J448" s="6"/>
      <c r="K448" s="6"/>
      <c r="L448" s="5"/>
      <c r="M448" s="5"/>
      <c r="N448" s="5"/>
      <c r="O448" s="3"/>
      <c r="P448" s="3"/>
    </row>
    <row r="449" spans="2:16" collapsed="1">
      <c r="B449" s="5" t="s">
        <v>241</v>
      </c>
      <c r="C449" s="5" t="str">
        <f>"Etch Black 32cm Round EU"</f>
        <v>Etch Black 32cm Round EU</v>
      </c>
      <c r="D449" s="42">
        <f>2050</f>
        <v>2050</v>
      </c>
      <c r="E449" s="5"/>
      <c r="F449" s="5"/>
      <c r="G449" s="42"/>
      <c r="H449" s="7"/>
      <c r="I449" s="5"/>
      <c r="J449" s="14"/>
      <c r="K449" s="14"/>
      <c r="L449" s="5"/>
      <c r="M449" s="5"/>
      <c r="N449" s="5"/>
      <c r="O449" s="3"/>
      <c r="P449" s="3"/>
    </row>
    <row r="450" spans="2:16" hidden="1" outlineLevel="1">
      <c r="B450" s="5" t="s">
        <v>242</v>
      </c>
      <c r="C450" s="5" t="str">
        <f>"Etch Brass 32cm Round EU"</f>
        <v>Etch Brass 32cm Round EU</v>
      </c>
      <c r="D450" s="42">
        <f>2050</f>
        <v>2050</v>
      </c>
      <c r="E450" s="5" t="s">
        <v>181</v>
      </c>
      <c r="F450" s="5" t="str">
        <f>IF($E450="","","Pendant System")</f>
        <v>Pendant System</v>
      </c>
      <c r="G450" s="42">
        <f>IF($E450="","",0)</f>
        <v>0</v>
      </c>
      <c r="H450" s="7">
        <f>1</f>
        <v>1</v>
      </c>
      <c r="I450" s="5"/>
      <c r="J450" s="6"/>
      <c r="K450" s="6"/>
      <c r="L450" s="5"/>
      <c r="M450" s="5"/>
      <c r="N450" s="5"/>
      <c r="O450" s="3"/>
      <c r="P450" s="3"/>
    </row>
    <row r="451" spans="2:16" hidden="1" outlineLevel="1">
      <c r="B451" s="5" t="s">
        <v>242</v>
      </c>
      <c r="C451" s="5" t="str">
        <f>"Etch Brass 32cm Round EU"</f>
        <v>Etch Brass 32cm Round EU</v>
      </c>
      <c r="D451" s="42">
        <f>2050</f>
        <v>2050</v>
      </c>
      <c r="E451" s="5" t="s">
        <v>104</v>
      </c>
      <c r="F451" s="5" t="str">
        <f>IF($E451="","","Etch Brass Pendant EU")</f>
        <v>Etch Brass Pendant EU</v>
      </c>
      <c r="G451" s="42">
        <f>IF($E451="","",410)</f>
        <v>410</v>
      </c>
      <c r="H451" s="7">
        <f>5</f>
        <v>5</v>
      </c>
      <c r="I451" s="5"/>
      <c r="J451" s="6"/>
      <c r="K451" s="6"/>
      <c r="L451" s="5"/>
      <c r="M451" s="5"/>
      <c r="N451" s="5"/>
      <c r="O451" s="3"/>
      <c r="P451" s="3"/>
    </row>
    <row r="452" spans="2:16" collapsed="1">
      <c r="B452" s="5" t="s">
        <v>242</v>
      </c>
      <c r="C452" s="5" t="str">
        <f>"Etch Brass 32cm Round EU"</f>
        <v>Etch Brass 32cm Round EU</v>
      </c>
      <c r="D452" s="42">
        <f>2050</f>
        <v>2050</v>
      </c>
      <c r="E452" s="5"/>
      <c r="F452" s="5"/>
      <c r="G452" s="42"/>
      <c r="H452" s="7"/>
      <c r="I452" s="5"/>
      <c r="J452" s="14"/>
      <c r="K452" s="14"/>
      <c r="L452" s="5"/>
      <c r="M452" s="5"/>
      <c r="N452" s="5"/>
      <c r="O452" s="3"/>
      <c r="P452" s="3"/>
    </row>
    <row r="453" spans="2:16" hidden="1" outlineLevel="1">
      <c r="B453" s="5" t="s">
        <v>243</v>
      </c>
      <c r="C453" s="5" t="str">
        <f>"Etch Copper 32cm Round PS EU"</f>
        <v>Etch Copper 32cm Round PS EU</v>
      </c>
      <c r="D453" s="42">
        <f>2050</f>
        <v>2050</v>
      </c>
      <c r="E453" s="5" t="s">
        <v>181</v>
      </c>
      <c r="F453" s="5" t="str">
        <f>IF($E453="","","Pendant System")</f>
        <v>Pendant System</v>
      </c>
      <c r="G453" s="42">
        <f>IF($E453="","",0)</f>
        <v>0</v>
      </c>
      <c r="H453" s="7">
        <f>1</f>
        <v>1</v>
      </c>
      <c r="I453" s="5"/>
      <c r="J453" s="6"/>
      <c r="K453" s="6"/>
      <c r="L453" s="5"/>
      <c r="M453" s="5"/>
      <c r="N453" s="5"/>
      <c r="O453" s="3"/>
      <c r="P453" s="3"/>
    </row>
    <row r="454" spans="2:16" hidden="1" outlineLevel="1">
      <c r="B454" s="5" t="s">
        <v>243</v>
      </c>
      <c r="C454" s="5" t="str">
        <f>"Etch Copper 32cm Round PS EU"</f>
        <v>Etch Copper 32cm Round PS EU</v>
      </c>
      <c r="D454" s="42">
        <f>2050</f>
        <v>2050</v>
      </c>
      <c r="E454" s="5" t="s">
        <v>103</v>
      </c>
      <c r="F454" s="5" t="str">
        <f>IF($E454="","","Etch Copper Pendant EU")</f>
        <v>Etch Copper Pendant EU</v>
      </c>
      <c r="G454" s="42">
        <f>IF($E454="","",410)</f>
        <v>410</v>
      </c>
      <c r="H454" s="7">
        <f>5</f>
        <v>5</v>
      </c>
      <c r="I454" s="5"/>
      <c r="J454" s="6"/>
      <c r="K454" s="6"/>
      <c r="L454" s="5"/>
      <c r="M454" s="5"/>
      <c r="N454" s="5"/>
      <c r="O454" s="3"/>
      <c r="P454" s="3"/>
    </row>
    <row r="455" spans="2:16" collapsed="1">
      <c r="B455" s="5" t="s">
        <v>243</v>
      </c>
      <c r="C455" s="5" t="str">
        <f>"Etch Copper 32cm Round PS EU"</f>
        <v>Etch Copper 32cm Round PS EU</v>
      </c>
      <c r="D455" s="42">
        <f>2050</f>
        <v>2050</v>
      </c>
      <c r="E455" s="5"/>
      <c r="F455" s="5"/>
      <c r="G455" s="42"/>
      <c r="H455" s="7"/>
      <c r="I455" s="5"/>
      <c r="J455" s="14"/>
      <c r="K455" s="14"/>
      <c r="L455" s="5"/>
      <c r="M455" s="5"/>
      <c r="N455" s="5"/>
      <c r="O455" s="3"/>
      <c r="P455" s="3"/>
    </row>
    <row r="456" spans="2:16" hidden="1" outlineLevel="1">
      <c r="B456" s="5" t="s">
        <v>244</v>
      </c>
      <c r="C456" s="5" t="str">
        <f>"Etch Steel 32cm Round EU"</f>
        <v>Etch Steel 32cm Round EU</v>
      </c>
      <c r="D456" s="42">
        <f>1950</f>
        <v>1950</v>
      </c>
      <c r="E456" s="5" t="s">
        <v>181</v>
      </c>
      <c r="F456" s="5" t="str">
        <f>IF($E456="","","Pendant System")</f>
        <v>Pendant System</v>
      </c>
      <c r="G456" s="42">
        <f>IF($E456="","",0)</f>
        <v>0</v>
      </c>
      <c r="H456" s="7">
        <f>1</f>
        <v>1</v>
      </c>
      <c r="I456" s="5"/>
      <c r="J456" s="6"/>
      <c r="K456" s="6"/>
      <c r="L456" s="5"/>
      <c r="M456" s="5"/>
      <c r="N456" s="5"/>
      <c r="O456" s="3"/>
      <c r="P456" s="3"/>
    </row>
    <row r="457" spans="2:16" hidden="1" outlineLevel="1">
      <c r="B457" s="5" t="s">
        <v>244</v>
      </c>
      <c r="C457" s="5" t="str">
        <f>"Etch Steel 32cm Round EU"</f>
        <v>Etch Steel 32cm Round EU</v>
      </c>
      <c r="D457" s="42">
        <f>1950</f>
        <v>1950</v>
      </c>
      <c r="E457" s="5" t="s">
        <v>105</v>
      </c>
      <c r="F457" s="5" t="str">
        <f>IF($E457="","","Etch Steel Pendant EU")</f>
        <v>Etch Steel Pendant EU</v>
      </c>
      <c r="G457" s="42">
        <f>IF($E457="","",390)</f>
        <v>390</v>
      </c>
      <c r="H457" s="7">
        <f>5</f>
        <v>5</v>
      </c>
      <c r="I457" s="5"/>
      <c r="J457" s="6"/>
      <c r="K457" s="6"/>
      <c r="L457" s="5"/>
      <c r="M457" s="5"/>
      <c r="N457" s="5"/>
      <c r="O457" s="3"/>
      <c r="P457" s="3"/>
    </row>
    <row r="458" spans="2:16" collapsed="1">
      <c r="B458" s="5" t="s">
        <v>244</v>
      </c>
      <c r="C458" s="5" t="str">
        <f>"Etch Steel 32cm Round EU"</f>
        <v>Etch Steel 32cm Round EU</v>
      </c>
      <c r="D458" s="42">
        <f>1950</f>
        <v>1950</v>
      </c>
      <c r="E458" s="5"/>
      <c r="F458" s="5"/>
      <c r="G458" s="42"/>
      <c r="H458" s="7"/>
      <c r="I458" s="5"/>
      <c r="J458" s="14"/>
      <c r="K458" s="14"/>
      <c r="L458" s="5"/>
      <c r="M458" s="5"/>
      <c r="N458" s="5"/>
      <c r="O458" s="3"/>
      <c r="P458" s="3"/>
    </row>
    <row r="459" spans="2:16" hidden="1" outlineLevel="1">
      <c r="B459" s="5" t="s">
        <v>245</v>
      </c>
      <c r="C459" s="5" t="str">
        <f>"Etch Brass Trio Round EU"</f>
        <v>Etch Brass Trio Round EU</v>
      </c>
      <c r="D459" s="42">
        <f>1820</f>
        <v>1820</v>
      </c>
      <c r="E459" s="5" t="s">
        <v>181</v>
      </c>
      <c r="F459" s="5" t="str">
        <f>IF($E459="","","Pendant System")</f>
        <v>Pendant System</v>
      </c>
      <c r="G459" s="42">
        <f>IF($E459="","",0)</f>
        <v>0</v>
      </c>
      <c r="H459" s="7">
        <f>1</f>
        <v>1</v>
      </c>
      <c r="I459" s="5"/>
      <c r="J459" s="6"/>
      <c r="K459" s="6"/>
      <c r="L459" s="5"/>
      <c r="M459" s="5"/>
      <c r="N459" s="5"/>
      <c r="O459" s="3"/>
      <c r="P459" s="3"/>
    </row>
    <row r="460" spans="2:16" hidden="1" outlineLevel="1">
      <c r="B460" s="5" t="s">
        <v>245</v>
      </c>
      <c r="C460" s="5" t="str">
        <f>"Etch Brass Trio Round EU"</f>
        <v>Etch Brass Trio Round EU</v>
      </c>
      <c r="D460" s="42">
        <f>1820</f>
        <v>1820</v>
      </c>
      <c r="E460" s="5" t="s">
        <v>102</v>
      </c>
      <c r="F460" s="5" t="str">
        <f>IF($E460="","","Etch Brass Pendant 50cm EU")</f>
        <v>Etch Brass Pendant 50cm EU</v>
      </c>
      <c r="G460" s="42">
        <f>IF($E460="","",1000)</f>
        <v>1000</v>
      </c>
      <c r="H460" s="7">
        <f>1</f>
        <v>1</v>
      </c>
      <c r="I460" s="5"/>
      <c r="J460" s="6"/>
      <c r="K460" s="6"/>
      <c r="L460" s="5"/>
      <c r="M460" s="5"/>
      <c r="N460" s="5"/>
      <c r="O460" s="3"/>
      <c r="P460" s="3"/>
    </row>
    <row r="461" spans="2:16" hidden="1" outlineLevel="1">
      <c r="B461" s="5" t="s">
        <v>245</v>
      </c>
      <c r="C461" s="5" t="str">
        <f>"Etch Brass Trio Round EU"</f>
        <v>Etch Brass Trio Round EU</v>
      </c>
      <c r="D461" s="42">
        <f>1820</f>
        <v>1820</v>
      </c>
      <c r="E461" s="5" t="s">
        <v>104</v>
      </c>
      <c r="F461" s="5" t="str">
        <f>IF($E461="","","Etch Brass Pendant EU")</f>
        <v>Etch Brass Pendant EU</v>
      </c>
      <c r="G461" s="42">
        <f>IF($E461="","",410)</f>
        <v>410</v>
      </c>
      <c r="H461" s="7">
        <f>2</f>
        <v>2</v>
      </c>
      <c r="I461" s="5"/>
      <c r="J461" s="6"/>
      <c r="K461" s="6"/>
      <c r="L461" s="5"/>
      <c r="M461" s="5"/>
      <c r="N461" s="5"/>
      <c r="O461" s="3"/>
      <c r="P461" s="3"/>
    </row>
    <row r="462" spans="2:16" collapsed="1">
      <c r="B462" s="5" t="s">
        <v>245</v>
      </c>
      <c r="C462" s="5" t="str">
        <f>"Etch Brass Trio Round EU"</f>
        <v>Etch Brass Trio Round EU</v>
      </c>
      <c r="D462" s="42">
        <f>1820</f>
        <v>1820</v>
      </c>
      <c r="E462" s="5"/>
      <c r="F462" s="5"/>
      <c r="G462" s="6"/>
      <c r="H462" s="7"/>
      <c r="I462" s="5"/>
      <c r="J462" s="14"/>
      <c r="K462" s="14"/>
      <c r="L462" s="5"/>
      <c r="M462" s="5"/>
      <c r="N462" s="5"/>
      <c r="O462" s="3"/>
      <c r="P462" s="3"/>
    </row>
    <row r="463" spans="2:16">
      <c r="J463" s="15"/>
      <c r="K463" s="15"/>
    </row>
  </sheetData>
  <mergeCells count="1">
    <mergeCell ref="I4:L4"/>
  </mergeCells>
  <conditionalFormatting sqref="O208:P462 P6:P195">
    <cfRule type="cellIs" dxfId="3" priority="3" operator="lessThan">
      <formula>-0.01</formula>
    </cfRule>
    <cfRule type="cellIs" dxfId="2" priority="4" operator="greaterThan">
      <formula>0.01</formula>
    </cfRule>
  </conditionalFormatting>
  <conditionalFormatting sqref="O202:P202">
    <cfRule type="cellIs" dxfId="1" priority="1" operator="lessThan">
      <formula>-0.01</formula>
    </cfRule>
    <cfRule type="cellIs" dxfId="0" priority="2" operator="greaterThan">
      <formula>0.01</formula>
    </cfRule>
  </conditionalFormatting>
  <pageMargins left="0.7" right="0.7" top="0.75" bottom="0.75" header="0.3" footer="0.3"/>
  <pageSetup paperSize="9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B4E35F-8D47-4D8C-A716-51D6A384A7CC}">
  <dimension ref="A1:L233"/>
  <sheetViews>
    <sheetView workbookViewId="0"/>
  </sheetViews>
  <sheetFormatPr baseColWidth="10" defaultColWidth="9.140625" defaultRowHeight="15"/>
  <sheetData>
    <row r="1" spans="1:12">
      <c r="A1" s="46" t="s">
        <v>2370</v>
      </c>
      <c r="B1" s="46" t="s">
        <v>0</v>
      </c>
      <c r="C1" s="46" t="s">
        <v>0</v>
      </c>
      <c r="D1" s="46" t="s">
        <v>0</v>
      </c>
      <c r="E1" s="46" t="s">
        <v>0</v>
      </c>
      <c r="F1" s="46" t="s">
        <v>0</v>
      </c>
      <c r="G1" s="46" t="s">
        <v>0</v>
      </c>
      <c r="H1" s="46" t="s">
        <v>0</v>
      </c>
      <c r="I1" s="46" t="s">
        <v>0</v>
      </c>
      <c r="J1" s="46" t="s">
        <v>0</v>
      </c>
      <c r="K1" s="46" t="s">
        <v>0</v>
      </c>
      <c r="L1" s="46" t="s">
        <v>0</v>
      </c>
    </row>
    <row r="3" spans="1:12">
      <c r="B3" s="46" t="s">
        <v>603</v>
      </c>
    </row>
    <row r="5" spans="1:12">
      <c r="G5" s="46" t="s">
        <v>2</v>
      </c>
    </row>
    <row r="6" spans="1:12">
      <c r="B6" s="46" t="s">
        <v>3</v>
      </c>
      <c r="C6" s="46" t="s">
        <v>4</v>
      </c>
      <c r="D6" s="46" t="s">
        <v>1040</v>
      </c>
      <c r="E6" s="46" t="s">
        <v>602</v>
      </c>
      <c r="F6" s="46" t="s">
        <v>601</v>
      </c>
      <c r="G6" s="46" t="s">
        <v>7</v>
      </c>
      <c r="H6" s="46" t="s">
        <v>8</v>
      </c>
      <c r="I6" s="46" t="s">
        <v>9</v>
      </c>
      <c r="J6" s="46" t="s">
        <v>10</v>
      </c>
      <c r="K6" s="46" t="s">
        <v>11</v>
      </c>
      <c r="L6" s="46" t="s">
        <v>12</v>
      </c>
    </row>
    <row r="7" spans="1:12">
      <c r="B7" s="46" t="s">
        <v>496</v>
      </c>
      <c r="C7" s="46" t="s">
        <v>1043</v>
      </c>
      <c r="D7" s="46" t="s">
        <v>1043</v>
      </c>
      <c r="E7" s="46" t="s">
        <v>1043</v>
      </c>
      <c r="F7" s="46" t="s">
        <v>1043</v>
      </c>
      <c r="G7" s="46" t="s">
        <v>1043</v>
      </c>
      <c r="H7" s="46" t="s">
        <v>1043</v>
      </c>
      <c r="I7" s="46" t="s">
        <v>1043</v>
      </c>
      <c r="J7" s="46" t="s">
        <v>1043</v>
      </c>
      <c r="K7" s="46" t="s">
        <v>1043</v>
      </c>
      <c r="L7" s="46" t="s">
        <v>1043</v>
      </c>
    </row>
    <row r="8" spans="1:12">
      <c r="B8" s="46" t="s">
        <v>600</v>
      </c>
      <c r="C8" s="46" t="s">
        <v>1043</v>
      </c>
      <c r="D8" s="46" t="s">
        <v>1043</v>
      </c>
      <c r="E8" s="46" t="s">
        <v>1043</v>
      </c>
      <c r="F8" s="46" t="s">
        <v>1043</v>
      </c>
      <c r="G8" s="46" t="s">
        <v>1043</v>
      </c>
      <c r="H8" s="46" t="s">
        <v>1043</v>
      </c>
      <c r="I8" s="46" t="s">
        <v>1043</v>
      </c>
      <c r="J8" s="46" t="s">
        <v>1043</v>
      </c>
      <c r="K8" s="46" t="s">
        <v>1043</v>
      </c>
      <c r="L8" s="46" t="s">
        <v>1043</v>
      </c>
    </row>
    <row r="9" spans="1:12">
      <c r="B9" s="46" t="s">
        <v>599</v>
      </c>
      <c r="C9" s="46" t="s">
        <v>1043</v>
      </c>
      <c r="D9" s="46" t="s">
        <v>1043</v>
      </c>
      <c r="E9" s="46" t="s">
        <v>1043</v>
      </c>
      <c r="F9" s="46" t="s">
        <v>1043</v>
      </c>
      <c r="G9" s="46" t="s">
        <v>1043</v>
      </c>
      <c r="H9" s="46" t="s">
        <v>1043</v>
      </c>
      <c r="I9" s="46" t="s">
        <v>1043</v>
      </c>
      <c r="J9" s="46" t="s">
        <v>1043</v>
      </c>
      <c r="K9" s="46" t="s">
        <v>1043</v>
      </c>
      <c r="L9" s="46" t="s">
        <v>1043</v>
      </c>
    </row>
    <row r="10" spans="1:12">
      <c r="B10" s="46" t="s">
        <v>598</v>
      </c>
      <c r="C10" s="46" t="s">
        <v>1043</v>
      </c>
      <c r="D10" s="46" t="s">
        <v>1043</v>
      </c>
      <c r="E10" s="46" t="s">
        <v>1043</v>
      </c>
      <c r="F10" s="46" t="s">
        <v>1043</v>
      </c>
      <c r="G10" s="46" t="s">
        <v>1043</v>
      </c>
      <c r="H10" s="46" t="s">
        <v>1043</v>
      </c>
      <c r="I10" s="46" t="s">
        <v>1043</v>
      </c>
      <c r="J10" s="46" t="s">
        <v>1043</v>
      </c>
      <c r="K10" s="46" t="s">
        <v>1043</v>
      </c>
      <c r="L10" s="46" t="s">
        <v>1043</v>
      </c>
    </row>
    <row r="11" spans="1:12">
      <c r="B11" s="46" t="s">
        <v>597</v>
      </c>
      <c r="C11" s="46" t="s">
        <v>1043</v>
      </c>
      <c r="D11" s="46" t="s">
        <v>1043</v>
      </c>
      <c r="E11" s="46" t="s">
        <v>1043</v>
      </c>
      <c r="F11" s="46" t="s">
        <v>1043</v>
      </c>
      <c r="G11" s="46" t="s">
        <v>1043</v>
      </c>
      <c r="H11" s="46" t="s">
        <v>1043</v>
      </c>
      <c r="I11" s="46" t="s">
        <v>1043</v>
      </c>
      <c r="J11" s="46" t="s">
        <v>1043</v>
      </c>
      <c r="K11" s="46" t="s">
        <v>1043</v>
      </c>
      <c r="L11" s="46" t="s">
        <v>1043</v>
      </c>
    </row>
    <row r="12" spans="1:12">
      <c r="B12" s="46" t="s">
        <v>596</v>
      </c>
      <c r="C12" s="46" t="s">
        <v>1043</v>
      </c>
      <c r="D12" s="46" t="s">
        <v>1043</v>
      </c>
      <c r="E12" s="46" t="s">
        <v>1043</v>
      </c>
      <c r="F12" s="46" t="s">
        <v>1043</v>
      </c>
      <c r="G12" s="46" t="s">
        <v>1043</v>
      </c>
      <c r="H12" s="46" t="s">
        <v>1043</v>
      </c>
      <c r="I12" s="46" t="s">
        <v>1043</v>
      </c>
      <c r="J12" s="46" t="s">
        <v>1043</v>
      </c>
      <c r="K12" s="46" t="s">
        <v>1043</v>
      </c>
      <c r="L12" s="46" t="s">
        <v>1043</v>
      </c>
    </row>
    <row r="13" spans="1:12">
      <c r="B13" s="46" t="s">
        <v>595</v>
      </c>
      <c r="C13" s="46" t="s">
        <v>1043</v>
      </c>
      <c r="D13" s="46" t="s">
        <v>1043</v>
      </c>
      <c r="E13" s="46" t="s">
        <v>1043</v>
      </c>
      <c r="F13" s="46" t="s">
        <v>1043</v>
      </c>
      <c r="G13" s="46" t="s">
        <v>1043</v>
      </c>
      <c r="H13" s="46" t="s">
        <v>1043</v>
      </c>
      <c r="I13" s="46" t="s">
        <v>1043</v>
      </c>
      <c r="J13" s="46" t="s">
        <v>1043</v>
      </c>
      <c r="K13" s="46" t="s">
        <v>1043</v>
      </c>
      <c r="L13" s="46" t="s">
        <v>1043</v>
      </c>
    </row>
    <row r="14" spans="1:12">
      <c r="B14" s="46" t="s">
        <v>594</v>
      </c>
      <c r="C14" s="46" t="s">
        <v>1043</v>
      </c>
      <c r="D14" s="46" t="s">
        <v>1043</v>
      </c>
      <c r="E14" s="46" t="s">
        <v>1043</v>
      </c>
      <c r="F14" s="46" t="s">
        <v>1043</v>
      </c>
      <c r="G14" s="46" t="s">
        <v>1043</v>
      </c>
      <c r="H14" s="46" t="s">
        <v>1043</v>
      </c>
      <c r="I14" s="46" t="s">
        <v>1043</v>
      </c>
      <c r="J14" s="46" t="s">
        <v>1043</v>
      </c>
      <c r="K14" s="46" t="s">
        <v>1043</v>
      </c>
      <c r="L14" s="46" t="s">
        <v>1043</v>
      </c>
    </row>
    <row r="15" spans="1:12">
      <c r="B15" s="46" t="s">
        <v>593</v>
      </c>
      <c r="C15" s="46" t="s">
        <v>1043</v>
      </c>
      <c r="D15" s="46" t="s">
        <v>1043</v>
      </c>
      <c r="E15" s="46" t="s">
        <v>1043</v>
      </c>
      <c r="F15" s="46" t="s">
        <v>1043</v>
      </c>
      <c r="G15" s="46" t="s">
        <v>1043</v>
      </c>
      <c r="H15" s="46" t="s">
        <v>1043</v>
      </c>
      <c r="I15" s="46" t="s">
        <v>1043</v>
      </c>
      <c r="J15" s="46" t="s">
        <v>1043</v>
      </c>
      <c r="K15" s="46" t="s">
        <v>1043</v>
      </c>
      <c r="L15" s="46" t="s">
        <v>1043</v>
      </c>
    </row>
    <row r="16" spans="1:12">
      <c r="B16" s="46" t="s">
        <v>592</v>
      </c>
      <c r="C16" s="46" t="s">
        <v>1043</v>
      </c>
      <c r="D16" s="46" t="s">
        <v>1043</v>
      </c>
      <c r="E16" s="46" t="s">
        <v>1043</v>
      </c>
      <c r="F16" s="46" t="s">
        <v>1043</v>
      </c>
      <c r="G16" s="46" t="s">
        <v>1043</v>
      </c>
      <c r="H16" s="46" t="s">
        <v>1043</v>
      </c>
      <c r="I16" s="46" t="s">
        <v>1043</v>
      </c>
      <c r="J16" s="46" t="s">
        <v>1043</v>
      </c>
      <c r="K16" s="46" t="s">
        <v>1043</v>
      </c>
      <c r="L16" s="46" t="s">
        <v>1043</v>
      </c>
    </row>
    <row r="17" spans="2:12">
      <c r="B17" s="46" t="s">
        <v>591</v>
      </c>
      <c r="C17" s="46" t="s">
        <v>1043</v>
      </c>
      <c r="D17" s="46" t="s">
        <v>1043</v>
      </c>
      <c r="E17" s="46" t="s">
        <v>1043</v>
      </c>
      <c r="F17" s="46" t="s">
        <v>1043</v>
      </c>
      <c r="G17" s="46" t="s">
        <v>1043</v>
      </c>
      <c r="H17" s="46" t="s">
        <v>1043</v>
      </c>
      <c r="I17" s="46" t="s">
        <v>1043</v>
      </c>
      <c r="J17" s="46" t="s">
        <v>1043</v>
      </c>
      <c r="K17" s="46" t="s">
        <v>1043</v>
      </c>
      <c r="L17" s="46" t="s">
        <v>1043</v>
      </c>
    </row>
    <row r="18" spans="2:12">
      <c r="B18" s="46" t="s">
        <v>590</v>
      </c>
      <c r="C18" s="46" t="s">
        <v>1043</v>
      </c>
      <c r="D18" s="46" t="s">
        <v>1043</v>
      </c>
      <c r="E18" s="46" t="s">
        <v>1043</v>
      </c>
      <c r="F18" s="46" t="s">
        <v>1043</v>
      </c>
      <c r="G18" s="46" t="s">
        <v>1043</v>
      </c>
      <c r="H18" s="46" t="s">
        <v>1043</v>
      </c>
      <c r="I18" s="46" t="s">
        <v>1043</v>
      </c>
      <c r="J18" s="46" t="s">
        <v>1043</v>
      </c>
      <c r="K18" s="46" t="s">
        <v>1043</v>
      </c>
      <c r="L18" s="46" t="s">
        <v>1043</v>
      </c>
    </row>
    <row r="19" spans="2:12">
      <c r="B19" s="46" t="s">
        <v>589</v>
      </c>
      <c r="C19" s="46" t="s">
        <v>1043</v>
      </c>
      <c r="D19" s="46" t="s">
        <v>1043</v>
      </c>
      <c r="E19" s="46" t="s">
        <v>1043</v>
      </c>
      <c r="F19" s="46" t="s">
        <v>1043</v>
      </c>
      <c r="G19" s="46" t="s">
        <v>1043</v>
      </c>
      <c r="H19" s="46" t="s">
        <v>1043</v>
      </c>
      <c r="I19" s="46" t="s">
        <v>1043</v>
      </c>
      <c r="J19" s="46" t="s">
        <v>1043</v>
      </c>
      <c r="K19" s="46" t="s">
        <v>1043</v>
      </c>
      <c r="L19" s="46" t="s">
        <v>1043</v>
      </c>
    </row>
    <row r="20" spans="2:12">
      <c r="B20" s="46" t="s">
        <v>588</v>
      </c>
      <c r="C20" s="46" t="s">
        <v>1043</v>
      </c>
      <c r="D20" s="46" t="s">
        <v>1043</v>
      </c>
      <c r="E20" s="46" t="s">
        <v>1043</v>
      </c>
      <c r="F20" s="46" t="s">
        <v>1043</v>
      </c>
      <c r="G20" s="46" t="s">
        <v>1043</v>
      </c>
      <c r="H20" s="46" t="s">
        <v>1043</v>
      </c>
      <c r="I20" s="46" t="s">
        <v>1043</v>
      </c>
      <c r="J20" s="46" t="s">
        <v>1043</v>
      </c>
      <c r="K20" s="46" t="s">
        <v>1043</v>
      </c>
      <c r="L20" s="46" t="s">
        <v>1043</v>
      </c>
    </row>
    <row r="21" spans="2:12">
      <c r="B21" s="46" t="s">
        <v>587</v>
      </c>
      <c r="C21" s="46" t="s">
        <v>1043</v>
      </c>
      <c r="D21" s="46" t="s">
        <v>1043</v>
      </c>
      <c r="E21" s="46" t="s">
        <v>1043</v>
      </c>
      <c r="F21" s="46" t="s">
        <v>1043</v>
      </c>
      <c r="G21" s="46" t="s">
        <v>1043</v>
      </c>
      <c r="H21" s="46" t="s">
        <v>1043</v>
      </c>
      <c r="I21" s="46" t="s">
        <v>1043</v>
      </c>
      <c r="J21" s="46" t="s">
        <v>1043</v>
      </c>
      <c r="K21" s="46" t="s">
        <v>1043</v>
      </c>
      <c r="L21" s="46" t="s">
        <v>1043</v>
      </c>
    </row>
    <row r="22" spans="2:12">
      <c r="B22" s="46" t="s">
        <v>586</v>
      </c>
      <c r="C22" s="46" t="s">
        <v>1043</v>
      </c>
      <c r="D22" s="46" t="s">
        <v>1043</v>
      </c>
      <c r="E22" s="46" t="s">
        <v>1043</v>
      </c>
      <c r="F22" s="46" t="s">
        <v>1043</v>
      </c>
      <c r="G22" s="46" t="s">
        <v>1043</v>
      </c>
      <c r="H22" s="46" t="s">
        <v>1043</v>
      </c>
      <c r="I22" s="46" t="s">
        <v>1043</v>
      </c>
      <c r="J22" s="46" t="s">
        <v>1043</v>
      </c>
      <c r="K22" s="46" t="s">
        <v>1043</v>
      </c>
      <c r="L22" s="46" t="s">
        <v>1043</v>
      </c>
    </row>
    <row r="23" spans="2:12">
      <c r="B23" s="46" t="s">
        <v>585</v>
      </c>
      <c r="C23" s="46" t="s">
        <v>1043</v>
      </c>
      <c r="D23" s="46" t="s">
        <v>1043</v>
      </c>
      <c r="E23" s="46" t="s">
        <v>1095</v>
      </c>
      <c r="F23" s="46" t="s">
        <v>1043</v>
      </c>
      <c r="G23" s="46" t="s">
        <v>1043</v>
      </c>
      <c r="H23" s="46" t="s">
        <v>1043</v>
      </c>
      <c r="I23" s="46" t="s">
        <v>1043</v>
      </c>
      <c r="J23" s="46" t="s">
        <v>1043</v>
      </c>
      <c r="K23" s="46" t="s">
        <v>1043</v>
      </c>
      <c r="L23" s="46" t="s">
        <v>1043</v>
      </c>
    </row>
    <row r="24" spans="2:12">
      <c r="B24" s="46" t="s">
        <v>584</v>
      </c>
      <c r="C24" s="46" t="s">
        <v>1043</v>
      </c>
      <c r="D24" s="46" t="s">
        <v>1043</v>
      </c>
      <c r="E24" s="46" t="s">
        <v>1095</v>
      </c>
      <c r="F24" s="46" t="s">
        <v>1043</v>
      </c>
      <c r="G24" s="46" t="s">
        <v>1043</v>
      </c>
      <c r="H24" s="46" t="s">
        <v>1043</v>
      </c>
      <c r="I24" s="46" t="s">
        <v>1043</v>
      </c>
      <c r="J24" s="46" t="s">
        <v>1043</v>
      </c>
      <c r="K24" s="46" t="s">
        <v>1043</v>
      </c>
      <c r="L24" s="46" t="s">
        <v>1043</v>
      </c>
    </row>
    <row r="25" spans="2:12">
      <c r="B25" s="46" t="s">
        <v>583</v>
      </c>
      <c r="C25" s="46" t="s">
        <v>1043</v>
      </c>
      <c r="D25" s="46" t="s">
        <v>1043</v>
      </c>
      <c r="E25" s="46" t="s">
        <v>1043</v>
      </c>
      <c r="F25" s="46" t="s">
        <v>1043</v>
      </c>
      <c r="G25" s="46" t="s">
        <v>1043</v>
      </c>
      <c r="H25" s="46" t="s">
        <v>1043</v>
      </c>
      <c r="I25" s="46" t="s">
        <v>1043</v>
      </c>
      <c r="J25" s="46" t="s">
        <v>1043</v>
      </c>
      <c r="K25" s="46" t="s">
        <v>1043</v>
      </c>
      <c r="L25" s="46" t="s">
        <v>1043</v>
      </c>
    </row>
    <row r="26" spans="2:12">
      <c r="B26" s="46" t="s">
        <v>582</v>
      </c>
      <c r="C26" s="46" t="s">
        <v>1043</v>
      </c>
      <c r="D26" s="46" t="s">
        <v>1043</v>
      </c>
      <c r="E26" s="46" t="s">
        <v>1043</v>
      </c>
      <c r="F26" s="46" t="s">
        <v>1043</v>
      </c>
      <c r="G26" s="46" t="s">
        <v>1043</v>
      </c>
      <c r="H26" s="46" t="s">
        <v>1043</v>
      </c>
      <c r="I26" s="46" t="s">
        <v>1043</v>
      </c>
      <c r="J26" s="46" t="s">
        <v>1043</v>
      </c>
      <c r="K26" s="46" t="s">
        <v>1043</v>
      </c>
      <c r="L26" s="46" t="s">
        <v>1043</v>
      </c>
    </row>
    <row r="27" spans="2:12">
      <c r="B27" s="46" t="s">
        <v>581</v>
      </c>
      <c r="C27" s="46" t="s">
        <v>1043</v>
      </c>
      <c r="D27" s="46" t="s">
        <v>1043</v>
      </c>
      <c r="E27" s="46" t="s">
        <v>1043</v>
      </c>
      <c r="F27" s="46" t="s">
        <v>1043</v>
      </c>
      <c r="G27" s="46" t="s">
        <v>1043</v>
      </c>
      <c r="H27" s="46" t="s">
        <v>1043</v>
      </c>
      <c r="I27" s="46" t="s">
        <v>1043</v>
      </c>
      <c r="J27" s="46" t="s">
        <v>1043</v>
      </c>
      <c r="K27" s="46" t="s">
        <v>1043</v>
      </c>
      <c r="L27" s="46" t="s">
        <v>1043</v>
      </c>
    </row>
    <row r="28" spans="2:12">
      <c r="B28" s="46" t="s">
        <v>580</v>
      </c>
      <c r="C28" s="46" t="s">
        <v>1043</v>
      </c>
      <c r="D28" s="46" t="s">
        <v>1043</v>
      </c>
      <c r="E28" s="46" t="s">
        <v>1043</v>
      </c>
      <c r="F28" s="46" t="s">
        <v>1043</v>
      </c>
      <c r="G28" s="46" t="s">
        <v>1043</v>
      </c>
      <c r="H28" s="46" t="s">
        <v>1043</v>
      </c>
      <c r="I28" s="46" t="s">
        <v>1043</v>
      </c>
      <c r="J28" s="46" t="s">
        <v>1043</v>
      </c>
      <c r="K28" s="46" t="s">
        <v>1043</v>
      </c>
      <c r="L28" s="46" t="s">
        <v>1043</v>
      </c>
    </row>
    <row r="29" spans="2:12">
      <c r="B29" s="46" t="s">
        <v>579</v>
      </c>
      <c r="C29" s="46" t="s">
        <v>1043</v>
      </c>
      <c r="D29" s="46" t="s">
        <v>1043</v>
      </c>
      <c r="E29" s="46" t="s">
        <v>1043</v>
      </c>
      <c r="F29" s="46" t="s">
        <v>1043</v>
      </c>
      <c r="G29" s="46" t="s">
        <v>1043</v>
      </c>
      <c r="H29" s="46" t="s">
        <v>1043</v>
      </c>
      <c r="I29" s="46" t="s">
        <v>1043</v>
      </c>
      <c r="J29" s="46" t="s">
        <v>1043</v>
      </c>
      <c r="K29" s="46" t="s">
        <v>1043</v>
      </c>
      <c r="L29" s="46" t="s">
        <v>1043</v>
      </c>
    </row>
    <row r="30" spans="2:12">
      <c r="B30" s="46" t="s">
        <v>578</v>
      </c>
      <c r="C30" s="46" t="s">
        <v>1043</v>
      </c>
      <c r="D30" s="46" t="s">
        <v>1043</v>
      </c>
      <c r="E30" s="46" t="s">
        <v>1043</v>
      </c>
      <c r="F30" s="46" t="s">
        <v>1043</v>
      </c>
      <c r="G30" s="46" t="s">
        <v>1043</v>
      </c>
      <c r="H30" s="46" t="s">
        <v>1043</v>
      </c>
      <c r="I30" s="46" t="s">
        <v>1043</v>
      </c>
      <c r="J30" s="46" t="s">
        <v>1043</v>
      </c>
      <c r="K30" s="46" t="s">
        <v>1043</v>
      </c>
      <c r="L30" s="46" t="s">
        <v>1043</v>
      </c>
    </row>
    <row r="31" spans="2:12">
      <c r="B31" s="46" t="s">
        <v>577</v>
      </c>
      <c r="C31" s="46" t="s">
        <v>1043</v>
      </c>
      <c r="D31" s="46" t="s">
        <v>1043</v>
      </c>
      <c r="E31" s="46" t="s">
        <v>1043</v>
      </c>
      <c r="F31" s="46" t="s">
        <v>1043</v>
      </c>
      <c r="G31" s="46" t="s">
        <v>1043</v>
      </c>
      <c r="H31" s="46" t="s">
        <v>1043</v>
      </c>
      <c r="I31" s="46" t="s">
        <v>1043</v>
      </c>
      <c r="J31" s="46" t="s">
        <v>1043</v>
      </c>
      <c r="K31" s="46" t="s">
        <v>1043</v>
      </c>
      <c r="L31" s="46" t="s">
        <v>1043</v>
      </c>
    </row>
    <row r="32" spans="2:12">
      <c r="B32" s="46" t="s">
        <v>576</v>
      </c>
      <c r="C32" s="46" t="s">
        <v>1043</v>
      </c>
      <c r="D32" s="46" t="s">
        <v>1043</v>
      </c>
      <c r="E32" s="46" t="s">
        <v>1043</v>
      </c>
      <c r="F32" s="46" t="s">
        <v>1043</v>
      </c>
      <c r="G32" s="46" t="s">
        <v>1043</v>
      </c>
      <c r="H32" s="46" t="s">
        <v>1043</v>
      </c>
      <c r="I32" s="46" t="s">
        <v>1043</v>
      </c>
      <c r="J32" s="46" t="s">
        <v>1043</v>
      </c>
      <c r="K32" s="46" t="s">
        <v>1043</v>
      </c>
      <c r="L32" s="46" t="s">
        <v>1043</v>
      </c>
    </row>
    <row r="33" spans="2:12">
      <c r="B33" s="46" t="s">
        <v>575</v>
      </c>
      <c r="C33" s="46" t="s">
        <v>1043</v>
      </c>
      <c r="D33" s="46" t="s">
        <v>1043</v>
      </c>
      <c r="E33" s="46" t="s">
        <v>1043</v>
      </c>
      <c r="F33" s="46" t="s">
        <v>1043</v>
      </c>
      <c r="G33" s="46" t="s">
        <v>1043</v>
      </c>
      <c r="H33" s="46" t="s">
        <v>1043</v>
      </c>
      <c r="I33" s="46" t="s">
        <v>1043</v>
      </c>
      <c r="J33" s="46" t="s">
        <v>1043</v>
      </c>
      <c r="K33" s="46" t="s">
        <v>1043</v>
      </c>
      <c r="L33" s="46" t="s">
        <v>1043</v>
      </c>
    </row>
    <row r="34" spans="2:12">
      <c r="B34" s="46" t="s">
        <v>574</v>
      </c>
      <c r="C34" s="46" t="s">
        <v>1043</v>
      </c>
      <c r="D34" s="46" t="s">
        <v>1043</v>
      </c>
      <c r="E34" s="46" t="s">
        <v>1043</v>
      </c>
      <c r="F34" s="46" t="s">
        <v>1043</v>
      </c>
      <c r="G34" s="46" t="s">
        <v>1043</v>
      </c>
      <c r="H34" s="46" t="s">
        <v>1043</v>
      </c>
      <c r="I34" s="46" t="s">
        <v>1043</v>
      </c>
      <c r="J34" s="46" t="s">
        <v>1043</v>
      </c>
      <c r="K34" s="46" t="s">
        <v>1043</v>
      </c>
      <c r="L34" s="46" t="s">
        <v>1043</v>
      </c>
    </row>
    <row r="35" spans="2:12">
      <c r="B35" s="46" t="s">
        <v>573</v>
      </c>
      <c r="C35" s="46" t="s">
        <v>1043</v>
      </c>
      <c r="D35" s="46" t="s">
        <v>1043</v>
      </c>
      <c r="E35" s="46" t="s">
        <v>1043</v>
      </c>
      <c r="F35" s="46" t="s">
        <v>1043</v>
      </c>
      <c r="G35" s="46" t="s">
        <v>1043</v>
      </c>
      <c r="H35" s="46" t="s">
        <v>1043</v>
      </c>
      <c r="I35" s="46" t="s">
        <v>1043</v>
      </c>
      <c r="J35" s="46" t="s">
        <v>1043</v>
      </c>
      <c r="K35" s="46" t="s">
        <v>1043</v>
      </c>
      <c r="L35" s="46" t="s">
        <v>1043</v>
      </c>
    </row>
    <row r="36" spans="2:12">
      <c r="B36" s="46" t="s">
        <v>572</v>
      </c>
      <c r="C36" s="46" t="s">
        <v>1043</v>
      </c>
      <c r="D36" s="46" t="s">
        <v>1043</v>
      </c>
      <c r="E36" s="46" t="s">
        <v>1043</v>
      </c>
      <c r="F36" s="46" t="s">
        <v>1043</v>
      </c>
      <c r="G36" s="46" t="s">
        <v>1043</v>
      </c>
      <c r="H36" s="46" t="s">
        <v>1043</v>
      </c>
      <c r="I36" s="46" t="s">
        <v>1043</v>
      </c>
      <c r="J36" s="46" t="s">
        <v>1043</v>
      </c>
      <c r="K36" s="46" t="s">
        <v>1043</v>
      </c>
      <c r="L36" s="46" t="s">
        <v>1043</v>
      </c>
    </row>
    <row r="37" spans="2:12">
      <c r="B37" s="46" t="s">
        <v>571</v>
      </c>
      <c r="C37" s="46" t="s">
        <v>1043</v>
      </c>
      <c r="D37" s="46" t="s">
        <v>1043</v>
      </c>
      <c r="E37" s="46" t="s">
        <v>1043</v>
      </c>
      <c r="F37" s="46" t="s">
        <v>1043</v>
      </c>
      <c r="G37" s="46" t="s">
        <v>1043</v>
      </c>
      <c r="H37" s="46" t="s">
        <v>1043</v>
      </c>
      <c r="I37" s="46" t="s">
        <v>1043</v>
      </c>
      <c r="J37" s="46" t="s">
        <v>1043</v>
      </c>
      <c r="K37" s="46" t="s">
        <v>1043</v>
      </c>
      <c r="L37" s="46" t="s">
        <v>1043</v>
      </c>
    </row>
    <row r="38" spans="2:12">
      <c r="B38" s="46" t="s">
        <v>570</v>
      </c>
      <c r="C38" s="46" t="s">
        <v>1043</v>
      </c>
      <c r="D38" s="46" t="s">
        <v>1043</v>
      </c>
      <c r="E38" s="46" t="s">
        <v>1043</v>
      </c>
      <c r="F38" s="46" t="s">
        <v>1043</v>
      </c>
      <c r="G38" s="46" t="s">
        <v>1043</v>
      </c>
      <c r="H38" s="46" t="s">
        <v>1043</v>
      </c>
      <c r="I38" s="46" t="s">
        <v>1043</v>
      </c>
      <c r="J38" s="46" t="s">
        <v>1043</v>
      </c>
      <c r="K38" s="46" t="s">
        <v>1043</v>
      </c>
      <c r="L38" s="46" t="s">
        <v>1043</v>
      </c>
    </row>
    <row r="39" spans="2:12">
      <c r="B39" s="46" t="s">
        <v>569</v>
      </c>
      <c r="C39" s="46" t="s">
        <v>1043</v>
      </c>
      <c r="D39" s="46" t="s">
        <v>1043</v>
      </c>
      <c r="E39" s="46" t="s">
        <v>1043</v>
      </c>
      <c r="F39" s="46" t="s">
        <v>1043</v>
      </c>
      <c r="G39" s="46" t="s">
        <v>1043</v>
      </c>
      <c r="H39" s="46" t="s">
        <v>1043</v>
      </c>
      <c r="I39" s="46" t="s">
        <v>1043</v>
      </c>
      <c r="J39" s="46" t="s">
        <v>1043</v>
      </c>
      <c r="K39" s="46" t="s">
        <v>1043</v>
      </c>
      <c r="L39" s="46" t="s">
        <v>1043</v>
      </c>
    </row>
    <row r="40" spans="2:12">
      <c r="B40" s="46" t="s">
        <v>568</v>
      </c>
      <c r="C40" s="46" t="s">
        <v>1043</v>
      </c>
      <c r="D40" s="46" t="s">
        <v>1043</v>
      </c>
      <c r="E40" s="46" t="s">
        <v>1043</v>
      </c>
      <c r="F40" s="46" t="s">
        <v>1043</v>
      </c>
      <c r="G40" s="46" t="s">
        <v>1043</v>
      </c>
      <c r="H40" s="46" t="s">
        <v>1043</v>
      </c>
      <c r="I40" s="46" t="s">
        <v>1043</v>
      </c>
      <c r="J40" s="46" t="s">
        <v>1043</v>
      </c>
      <c r="K40" s="46" t="s">
        <v>1043</v>
      </c>
      <c r="L40" s="46" t="s">
        <v>1043</v>
      </c>
    </row>
    <row r="41" spans="2:12">
      <c r="B41" s="46" t="s">
        <v>567</v>
      </c>
      <c r="C41" s="46" t="s">
        <v>1043</v>
      </c>
      <c r="D41" s="46" t="s">
        <v>1043</v>
      </c>
      <c r="E41" s="46" t="s">
        <v>1043</v>
      </c>
      <c r="F41" s="46" t="s">
        <v>1043</v>
      </c>
      <c r="G41" s="46" t="s">
        <v>1043</v>
      </c>
      <c r="H41" s="46" t="s">
        <v>1043</v>
      </c>
      <c r="I41" s="46" t="s">
        <v>1043</v>
      </c>
      <c r="J41" s="46" t="s">
        <v>1043</v>
      </c>
      <c r="K41" s="46" t="s">
        <v>1043</v>
      </c>
      <c r="L41" s="46" t="s">
        <v>1043</v>
      </c>
    </row>
    <row r="42" spans="2:12">
      <c r="B42" s="46" t="s">
        <v>566</v>
      </c>
      <c r="C42" s="46" t="s">
        <v>1043</v>
      </c>
      <c r="D42" s="46" t="s">
        <v>1043</v>
      </c>
      <c r="E42" s="46" t="s">
        <v>1043</v>
      </c>
      <c r="F42" s="46" t="s">
        <v>1043</v>
      </c>
      <c r="G42" s="46" t="s">
        <v>1043</v>
      </c>
      <c r="H42" s="46" t="s">
        <v>1043</v>
      </c>
      <c r="I42" s="46" t="s">
        <v>1043</v>
      </c>
      <c r="J42" s="46" t="s">
        <v>1043</v>
      </c>
      <c r="K42" s="46" t="s">
        <v>1043</v>
      </c>
      <c r="L42" s="46" t="s">
        <v>1043</v>
      </c>
    </row>
    <row r="43" spans="2:12">
      <c r="B43" s="46" t="s">
        <v>565</v>
      </c>
      <c r="C43" s="46" t="s">
        <v>1043</v>
      </c>
      <c r="D43" s="46" t="s">
        <v>1043</v>
      </c>
      <c r="E43" s="46" t="s">
        <v>1043</v>
      </c>
      <c r="F43" s="46" t="s">
        <v>1043</v>
      </c>
      <c r="G43" s="46" t="s">
        <v>1043</v>
      </c>
      <c r="H43" s="46" t="s">
        <v>1043</v>
      </c>
      <c r="I43" s="46" t="s">
        <v>1043</v>
      </c>
      <c r="J43" s="46" t="s">
        <v>1043</v>
      </c>
      <c r="K43" s="46" t="s">
        <v>1043</v>
      </c>
      <c r="L43" s="46" t="s">
        <v>1043</v>
      </c>
    </row>
    <row r="44" spans="2:12">
      <c r="B44" s="46" t="s">
        <v>564</v>
      </c>
      <c r="C44" s="46" t="s">
        <v>1043</v>
      </c>
      <c r="D44" s="46" t="s">
        <v>1043</v>
      </c>
      <c r="E44" s="46" t="s">
        <v>1043</v>
      </c>
      <c r="F44" s="46" t="s">
        <v>1043</v>
      </c>
      <c r="G44" s="46" t="s">
        <v>1043</v>
      </c>
      <c r="H44" s="46" t="s">
        <v>1043</v>
      </c>
      <c r="I44" s="46" t="s">
        <v>1043</v>
      </c>
      <c r="J44" s="46" t="s">
        <v>1043</v>
      </c>
      <c r="K44" s="46" t="s">
        <v>1043</v>
      </c>
      <c r="L44" s="46" t="s">
        <v>1043</v>
      </c>
    </row>
    <row r="45" spans="2:12">
      <c r="B45" s="46" t="s">
        <v>563</v>
      </c>
      <c r="C45" s="46" t="s">
        <v>1043</v>
      </c>
      <c r="D45" s="46" t="s">
        <v>1043</v>
      </c>
      <c r="E45" s="46" t="s">
        <v>1043</v>
      </c>
      <c r="F45" s="46" t="s">
        <v>1043</v>
      </c>
      <c r="G45" s="46" t="s">
        <v>1043</v>
      </c>
      <c r="H45" s="46" t="s">
        <v>1043</v>
      </c>
      <c r="I45" s="46" t="s">
        <v>1043</v>
      </c>
      <c r="J45" s="46" t="s">
        <v>1043</v>
      </c>
      <c r="K45" s="46" t="s">
        <v>1043</v>
      </c>
      <c r="L45" s="46" t="s">
        <v>1043</v>
      </c>
    </row>
    <row r="46" spans="2:12">
      <c r="B46" s="46" t="s">
        <v>562</v>
      </c>
      <c r="C46" s="46" t="s">
        <v>1043</v>
      </c>
      <c r="D46" s="46" t="s">
        <v>1043</v>
      </c>
      <c r="E46" s="46" t="s">
        <v>1043</v>
      </c>
      <c r="F46" s="46" t="s">
        <v>1043</v>
      </c>
      <c r="G46" s="46" t="s">
        <v>1043</v>
      </c>
      <c r="H46" s="46" t="s">
        <v>1043</v>
      </c>
      <c r="I46" s="46" t="s">
        <v>1043</v>
      </c>
      <c r="J46" s="46" t="s">
        <v>1043</v>
      </c>
      <c r="K46" s="46" t="s">
        <v>1043</v>
      </c>
      <c r="L46" s="46" t="s">
        <v>1043</v>
      </c>
    </row>
    <row r="47" spans="2:12">
      <c r="B47" s="46" t="s">
        <v>561</v>
      </c>
      <c r="C47" s="46" t="s">
        <v>1043</v>
      </c>
      <c r="D47" s="46" t="s">
        <v>1043</v>
      </c>
      <c r="E47" s="46" t="s">
        <v>1043</v>
      </c>
      <c r="F47" s="46" t="s">
        <v>1043</v>
      </c>
      <c r="G47" s="46" t="s">
        <v>1043</v>
      </c>
      <c r="H47" s="46" t="s">
        <v>1043</v>
      </c>
      <c r="I47" s="46" t="s">
        <v>1043</v>
      </c>
      <c r="J47" s="46" t="s">
        <v>1043</v>
      </c>
      <c r="K47" s="46" t="s">
        <v>1043</v>
      </c>
      <c r="L47" s="46" t="s">
        <v>1043</v>
      </c>
    </row>
    <row r="48" spans="2:12">
      <c r="B48" s="46" t="s">
        <v>560</v>
      </c>
      <c r="C48" s="46" t="s">
        <v>1043</v>
      </c>
      <c r="D48" s="46" t="s">
        <v>1043</v>
      </c>
      <c r="E48" s="46" t="s">
        <v>1043</v>
      </c>
      <c r="F48" s="46" t="s">
        <v>1043</v>
      </c>
      <c r="G48" s="46" t="s">
        <v>1043</v>
      </c>
      <c r="H48" s="46" t="s">
        <v>1043</v>
      </c>
      <c r="I48" s="46" t="s">
        <v>1043</v>
      </c>
      <c r="J48" s="46" t="s">
        <v>1043</v>
      </c>
      <c r="K48" s="46" t="s">
        <v>1043</v>
      </c>
      <c r="L48" s="46" t="s">
        <v>1043</v>
      </c>
    </row>
    <row r="49" spans="2:12">
      <c r="B49" s="46" t="s">
        <v>559</v>
      </c>
      <c r="C49" s="46" t="s">
        <v>1043</v>
      </c>
      <c r="D49" s="46" t="s">
        <v>1043</v>
      </c>
      <c r="E49" s="46" t="s">
        <v>1043</v>
      </c>
      <c r="F49" s="46" t="s">
        <v>1043</v>
      </c>
      <c r="G49" s="46" t="s">
        <v>1043</v>
      </c>
      <c r="H49" s="46" t="s">
        <v>1043</v>
      </c>
      <c r="I49" s="46" t="s">
        <v>1043</v>
      </c>
      <c r="J49" s="46" t="s">
        <v>1043</v>
      </c>
      <c r="K49" s="46" t="s">
        <v>1043</v>
      </c>
      <c r="L49" s="46" t="s">
        <v>1043</v>
      </c>
    </row>
    <row r="50" spans="2:12">
      <c r="B50" s="46" t="s">
        <v>558</v>
      </c>
      <c r="C50" s="46" t="s">
        <v>1043</v>
      </c>
      <c r="D50" s="46" t="s">
        <v>1043</v>
      </c>
      <c r="E50" s="46" t="s">
        <v>1043</v>
      </c>
      <c r="F50" s="46" t="s">
        <v>1043</v>
      </c>
      <c r="G50" s="46" t="s">
        <v>1043</v>
      </c>
      <c r="H50" s="46" t="s">
        <v>1043</v>
      </c>
      <c r="I50" s="46" t="s">
        <v>1043</v>
      </c>
      <c r="J50" s="46" t="s">
        <v>1043</v>
      </c>
      <c r="K50" s="46" t="s">
        <v>1043</v>
      </c>
      <c r="L50" s="46" t="s">
        <v>1043</v>
      </c>
    </row>
    <row r="51" spans="2:12">
      <c r="B51" s="46" t="s">
        <v>557</v>
      </c>
      <c r="C51" s="46" t="s">
        <v>1043</v>
      </c>
      <c r="D51" s="46" t="s">
        <v>1043</v>
      </c>
      <c r="E51" s="46" t="s">
        <v>1043</v>
      </c>
      <c r="F51" s="46" t="s">
        <v>1043</v>
      </c>
      <c r="G51" s="46" t="s">
        <v>1043</v>
      </c>
      <c r="H51" s="46" t="s">
        <v>1043</v>
      </c>
      <c r="I51" s="46" t="s">
        <v>1043</v>
      </c>
      <c r="J51" s="46" t="s">
        <v>1043</v>
      </c>
      <c r="K51" s="46" t="s">
        <v>1043</v>
      </c>
      <c r="L51" s="46" t="s">
        <v>1043</v>
      </c>
    </row>
    <row r="52" spans="2:12">
      <c r="B52" s="46" t="s">
        <v>556</v>
      </c>
      <c r="C52" s="46" t="s">
        <v>1043</v>
      </c>
      <c r="D52" s="46" t="s">
        <v>1043</v>
      </c>
      <c r="E52" s="46" t="s">
        <v>1043</v>
      </c>
      <c r="F52" s="46" t="s">
        <v>1043</v>
      </c>
      <c r="G52" s="46" t="s">
        <v>1043</v>
      </c>
      <c r="H52" s="46" t="s">
        <v>1043</v>
      </c>
      <c r="I52" s="46" t="s">
        <v>1043</v>
      </c>
      <c r="J52" s="46" t="s">
        <v>1043</v>
      </c>
      <c r="K52" s="46" t="s">
        <v>1043</v>
      </c>
      <c r="L52" s="46" t="s">
        <v>1043</v>
      </c>
    </row>
    <row r="53" spans="2:12">
      <c r="B53" s="46" t="s">
        <v>555</v>
      </c>
      <c r="C53" s="46" t="s">
        <v>1043</v>
      </c>
      <c r="D53" s="46" t="s">
        <v>1043</v>
      </c>
      <c r="E53" s="46" t="s">
        <v>1043</v>
      </c>
      <c r="F53" s="46" t="s">
        <v>1043</v>
      </c>
      <c r="G53" s="46" t="s">
        <v>1043</v>
      </c>
      <c r="H53" s="46" t="s">
        <v>1043</v>
      </c>
      <c r="I53" s="46" t="s">
        <v>1043</v>
      </c>
      <c r="J53" s="46" t="s">
        <v>1043</v>
      </c>
      <c r="K53" s="46" t="s">
        <v>1043</v>
      </c>
      <c r="L53" s="46" t="s">
        <v>1043</v>
      </c>
    </row>
    <row r="54" spans="2:12">
      <c r="B54" s="46" t="s">
        <v>554</v>
      </c>
      <c r="C54" s="46" t="s">
        <v>1043</v>
      </c>
      <c r="D54" s="46" t="s">
        <v>1043</v>
      </c>
      <c r="E54" s="46" t="s">
        <v>1043</v>
      </c>
      <c r="F54" s="46" t="s">
        <v>1043</v>
      </c>
      <c r="G54" s="46" t="s">
        <v>1043</v>
      </c>
      <c r="H54" s="46" t="s">
        <v>1043</v>
      </c>
      <c r="I54" s="46" t="s">
        <v>1043</v>
      </c>
      <c r="J54" s="46" t="s">
        <v>1043</v>
      </c>
      <c r="K54" s="46" t="s">
        <v>1043</v>
      </c>
      <c r="L54" s="46" t="s">
        <v>1043</v>
      </c>
    </row>
    <row r="55" spans="2:12">
      <c r="B55" s="46" t="s">
        <v>553</v>
      </c>
      <c r="C55" s="46" t="s">
        <v>1043</v>
      </c>
      <c r="D55" s="46" t="s">
        <v>1043</v>
      </c>
      <c r="E55" s="46" t="s">
        <v>1043</v>
      </c>
      <c r="F55" s="46" t="s">
        <v>1043</v>
      </c>
      <c r="G55" s="46" t="s">
        <v>1043</v>
      </c>
      <c r="H55" s="46" t="s">
        <v>1043</v>
      </c>
      <c r="I55" s="46" t="s">
        <v>1043</v>
      </c>
      <c r="J55" s="46" t="s">
        <v>1043</v>
      </c>
      <c r="K55" s="46" t="s">
        <v>1043</v>
      </c>
      <c r="L55" s="46" t="s">
        <v>1043</v>
      </c>
    </row>
    <row r="56" spans="2:12">
      <c r="B56" s="46" t="s">
        <v>552</v>
      </c>
      <c r="C56" s="46" t="s">
        <v>1043</v>
      </c>
      <c r="D56" s="46" t="s">
        <v>1043</v>
      </c>
      <c r="E56" s="46" t="s">
        <v>1043</v>
      </c>
      <c r="F56" s="46" t="s">
        <v>1043</v>
      </c>
      <c r="G56" s="46" t="s">
        <v>1043</v>
      </c>
      <c r="H56" s="46" t="s">
        <v>1043</v>
      </c>
      <c r="I56" s="46" t="s">
        <v>1043</v>
      </c>
      <c r="J56" s="46" t="s">
        <v>1043</v>
      </c>
      <c r="K56" s="46" t="s">
        <v>1043</v>
      </c>
      <c r="L56" s="46" t="s">
        <v>1043</v>
      </c>
    </row>
    <row r="57" spans="2:12">
      <c r="B57" s="46" t="s">
        <v>551</v>
      </c>
      <c r="C57" s="46" t="s">
        <v>1043</v>
      </c>
      <c r="D57" s="46" t="s">
        <v>1043</v>
      </c>
      <c r="E57" s="46" t="s">
        <v>1043</v>
      </c>
      <c r="F57" s="46" t="s">
        <v>1043</v>
      </c>
      <c r="G57" s="46" t="s">
        <v>1043</v>
      </c>
      <c r="H57" s="46" t="s">
        <v>1043</v>
      </c>
      <c r="I57" s="46" t="s">
        <v>1043</v>
      </c>
      <c r="J57" s="46" t="s">
        <v>1043</v>
      </c>
      <c r="K57" s="46" t="s">
        <v>1043</v>
      </c>
      <c r="L57" s="46" t="s">
        <v>1043</v>
      </c>
    </row>
    <row r="58" spans="2:12">
      <c r="B58" s="46" t="s">
        <v>550</v>
      </c>
      <c r="C58" s="46" t="s">
        <v>1043</v>
      </c>
      <c r="D58" s="46" t="s">
        <v>1043</v>
      </c>
      <c r="E58" s="46" t="s">
        <v>1043</v>
      </c>
      <c r="F58" s="46" t="s">
        <v>1043</v>
      </c>
      <c r="G58" s="46" t="s">
        <v>1043</v>
      </c>
      <c r="H58" s="46" t="s">
        <v>1043</v>
      </c>
      <c r="I58" s="46" t="s">
        <v>1043</v>
      </c>
      <c r="J58" s="46" t="s">
        <v>1043</v>
      </c>
      <c r="K58" s="46" t="s">
        <v>1043</v>
      </c>
      <c r="L58" s="46" t="s">
        <v>1043</v>
      </c>
    </row>
    <row r="59" spans="2:12">
      <c r="B59" s="46" t="s">
        <v>549</v>
      </c>
      <c r="C59" s="46" t="s">
        <v>1043</v>
      </c>
      <c r="D59" s="46" t="s">
        <v>1043</v>
      </c>
      <c r="E59" s="46" t="s">
        <v>1043</v>
      </c>
      <c r="F59" s="46" t="s">
        <v>1043</v>
      </c>
      <c r="G59" s="46" t="s">
        <v>1043</v>
      </c>
      <c r="H59" s="46" t="s">
        <v>1043</v>
      </c>
      <c r="I59" s="46" t="s">
        <v>1043</v>
      </c>
      <c r="J59" s="46" t="s">
        <v>1043</v>
      </c>
      <c r="K59" s="46" t="s">
        <v>1043</v>
      </c>
      <c r="L59" s="46" t="s">
        <v>1043</v>
      </c>
    </row>
    <row r="60" spans="2:12">
      <c r="B60" s="46" t="s">
        <v>548</v>
      </c>
      <c r="C60" s="46" t="s">
        <v>1043</v>
      </c>
      <c r="D60" s="46" t="s">
        <v>1043</v>
      </c>
      <c r="E60" s="46" t="s">
        <v>1095</v>
      </c>
      <c r="F60" s="46" t="s">
        <v>1043</v>
      </c>
      <c r="G60" s="46" t="s">
        <v>1043</v>
      </c>
      <c r="H60" s="46" t="s">
        <v>1043</v>
      </c>
      <c r="I60" s="46" t="s">
        <v>1043</v>
      </c>
      <c r="J60" s="46" t="s">
        <v>1043</v>
      </c>
      <c r="K60" s="46" t="s">
        <v>1043</v>
      </c>
      <c r="L60" s="46" t="s">
        <v>1043</v>
      </c>
    </row>
    <row r="61" spans="2:12">
      <c r="B61" s="46" t="s">
        <v>547</v>
      </c>
      <c r="C61" s="46" t="s">
        <v>1043</v>
      </c>
      <c r="D61" s="46" t="s">
        <v>1043</v>
      </c>
      <c r="E61" s="46" t="s">
        <v>1043</v>
      </c>
      <c r="F61" s="46" t="s">
        <v>1043</v>
      </c>
      <c r="G61" s="46" t="s">
        <v>1043</v>
      </c>
      <c r="H61" s="46" t="s">
        <v>1043</v>
      </c>
      <c r="I61" s="46" t="s">
        <v>1043</v>
      </c>
      <c r="J61" s="46" t="s">
        <v>1043</v>
      </c>
      <c r="K61" s="46" t="s">
        <v>1043</v>
      </c>
      <c r="L61" s="46" t="s">
        <v>1043</v>
      </c>
    </row>
    <row r="62" spans="2:12">
      <c r="B62" s="46" t="s">
        <v>546</v>
      </c>
      <c r="C62" s="46" t="s">
        <v>1043</v>
      </c>
      <c r="D62" s="46" t="s">
        <v>1043</v>
      </c>
      <c r="E62" s="46" t="s">
        <v>1095</v>
      </c>
      <c r="F62" s="46" t="s">
        <v>1043</v>
      </c>
      <c r="G62" s="46" t="s">
        <v>1043</v>
      </c>
      <c r="H62" s="46" t="s">
        <v>1043</v>
      </c>
      <c r="I62" s="46" t="s">
        <v>1043</v>
      </c>
      <c r="J62" s="46" t="s">
        <v>1043</v>
      </c>
      <c r="K62" s="46" t="s">
        <v>1043</v>
      </c>
      <c r="L62" s="46" t="s">
        <v>1043</v>
      </c>
    </row>
    <row r="63" spans="2:12">
      <c r="B63" s="46" t="s">
        <v>545</v>
      </c>
      <c r="C63" s="46" t="s">
        <v>1043</v>
      </c>
      <c r="D63" s="46" t="s">
        <v>1043</v>
      </c>
      <c r="E63" s="46" t="s">
        <v>1043</v>
      </c>
      <c r="F63" s="46" t="s">
        <v>1043</v>
      </c>
      <c r="G63" s="46" t="s">
        <v>1043</v>
      </c>
      <c r="H63" s="46" t="s">
        <v>1043</v>
      </c>
      <c r="I63" s="46" t="s">
        <v>1043</v>
      </c>
      <c r="J63" s="46" t="s">
        <v>1043</v>
      </c>
      <c r="K63" s="46" t="s">
        <v>1043</v>
      </c>
      <c r="L63" s="46" t="s">
        <v>1043</v>
      </c>
    </row>
    <row r="64" spans="2:12">
      <c r="B64" s="46" t="s">
        <v>544</v>
      </c>
      <c r="C64" s="46" t="s">
        <v>1043</v>
      </c>
      <c r="D64" s="46" t="s">
        <v>1043</v>
      </c>
      <c r="E64" s="46" t="s">
        <v>1043</v>
      </c>
      <c r="F64" s="46" t="s">
        <v>1043</v>
      </c>
      <c r="G64" s="46" t="s">
        <v>1043</v>
      </c>
      <c r="H64" s="46" t="s">
        <v>1043</v>
      </c>
      <c r="I64" s="46" t="s">
        <v>1043</v>
      </c>
      <c r="J64" s="46" t="s">
        <v>1043</v>
      </c>
      <c r="K64" s="46" t="s">
        <v>1043</v>
      </c>
      <c r="L64" s="46" t="s">
        <v>1043</v>
      </c>
    </row>
    <row r="65" spans="2:12">
      <c r="B65" s="46" t="s">
        <v>543</v>
      </c>
      <c r="C65" s="46" t="s">
        <v>1043</v>
      </c>
      <c r="D65" s="46" t="s">
        <v>1043</v>
      </c>
      <c r="E65" s="46" t="s">
        <v>1043</v>
      </c>
      <c r="F65" s="46" t="s">
        <v>1043</v>
      </c>
      <c r="G65" s="46" t="s">
        <v>1043</v>
      </c>
      <c r="H65" s="46" t="s">
        <v>1043</v>
      </c>
      <c r="I65" s="46" t="s">
        <v>1043</v>
      </c>
      <c r="J65" s="46" t="s">
        <v>1043</v>
      </c>
      <c r="K65" s="46" t="s">
        <v>1043</v>
      </c>
      <c r="L65" s="46" t="s">
        <v>1043</v>
      </c>
    </row>
    <row r="66" spans="2:12">
      <c r="B66" s="46" t="s">
        <v>542</v>
      </c>
      <c r="C66" s="46" t="s">
        <v>1043</v>
      </c>
      <c r="D66" s="46" t="s">
        <v>1043</v>
      </c>
      <c r="E66" s="46" t="s">
        <v>1043</v>
      </c>
      <c r="F66" s="46" t="s">
        <v>1043</v>
      </c>
      <c r="G66" s="46" t="s">
        <v>1043</v>
      </c>
      <c r="H66" s="46" t="s">
        <v>1043</v>
      </c>
      <c r="I66" s="46" t="s">
        <v>1043</v>
      </c>
      <c r="J66" s="46" t="s">
        <v>1043</v>
      </c>
      <c r="K66" s="46" t="s">
        <v>1043</v>
      </c>
      <c r="L66" s="46" t="s">
        <v>1043</v>
      </c>
    </row>
    <row r="67" spans="2:12">
      <c r="B67" s="46" t="s">
        <v>541</v>
      </c>
      <c r="C67" s="46" t="s">
        <v>1043</v>
      </c>
      <c r="D67" s="46" t="s">
        <v>1043</v>
      </c>
      <c r="E67" s="46" t="s">
        <v>1043</v>
      </c>
      <c r="F67" s="46" t="s">
        <v>1043</v>
      </c>
      <c r="G67" s="46" t="s">
        <v>1043</v>
      </c>
      <c r="H67" s="46" t="s">
        <v>1043</v>
      </c>
      <c r="I67" s="46" t="s">
        <v>1043</v>
      </c>
      <c r="J67" s="46" t="s">
        <v>1043</v>
      </c>
      <c r="K67" s="46" t="s">
        <v>1043</v>
      </c>
      <c r="L67" s="46" t="s">
        <v>1043</v>
      </c>
    </row>
    <row r="68" spans="2:12">
      <c r="B68" s="46" t="s">
        <v>540</v>
      </c>
      <c r="C68" s="46" t="s">
        <v>1043</v>
      </c>
      <c r="D68" s="46" t="s">
        <v>1043</v>
      </c>
      <c r="E68" s="46" t="s">
        <v>1043</v>
      </c>
      <c r="F68" s="46" t="s">
        <v>1043</v>
      </c>
      <c r="G68" s="46" t="s">
        <v>1043</v>
      </c>
      <c r="H68" s="46" t="s">
        <v>1043</v>
      </c>
      <c r="I68" s="46" t="s">
        <v>1043</v>
      </c>
      <c r="J68" s="46" t="s">
        <v>1043</v>
      </c>
      <c r="K68" s="46" t="s">
        <v>1043</v>
      </c>
      <c r="L68" s="46" t="s">
        <v>1043</v>
      </c>
    </row>
    <row r="69" spans="2:12">
      <c r="B69" s="46" t="s">
        <v>539</v>
      </c>
      <c r="C69" s="46" t="s">
        <v>1043</v>
      </c>
      <c r="D69" s="46" t="s">
        <v>1043</v>
      </c>
      <c r="E69" s="46" t="s">
        <v>1043</v>
      </c>
      <c r="F69" s="46" t="s">
        <v>1043</v>
      </c>
      <c r="G69" s="46" t="s">
        <v>1043</v>
      </c>
      <c r="H69" s="46" t="s">
        <v>1043</v>
      </c>
      <c r="I69" s="46" t="s">
        <v>1043</v>
      </c>
      <c r="J69" s="46" t="s">
        <v>1043</v>
      </c>
      <c r="K69" s="46" t="s">
        <v>1043</v>
      </c>
      <c r="L69" s="46" t="s">
        <v>1043</v>
      </c>
    </row>
    <row r="70" spans="2:12">
      <c r="B70" s="46" t="s">
        <v>538</v>
      </c>
      <c r="C70" s="46" t="s">
        <v>1043</v>
      </c>
      <c r="D70" s="46" t="s">
        <v>1043</v>
      </c>
      <c r="E70" s="46" t="s">
        <v>1043</v>
      </c>
      <c r="F70" s="46" t="s">
        <v>1043</v>
      </c>
      <c r="G70" s="46" t="s">
        <v>1043</v>
      </c>
      <c r="H70" s="46" t="s">
        <v>1043</v>
      </c>
      <c r="I70" s="46" t="s">
        <v>1043</v>
      </c>
      <c r="J70" s="46" t="s">
        <v>1043</v>
      </c>
      <c r="K70" s="46" t="s">
        <v>1043</v>
      </c>
      <c r="L70" s="46" t="s">
        <v>1043</v>
      </c>
    </row>
    <row r="71" spans="2:12">
      <c r="B71" s="46" t="s">
        <v>537</v>
      </c>
      <c r="C71" s="46" t="s">
        <v>1043</v>
      </c>
      <c r="D71" s="46" t="s">
        <v>1043</v>
      </c>
      <c r="E71" s="46" t="s">
        <v>1043</v>
      </c>
      <c r="F71" s="46" t="s">
        <v>1043</v>
      </c>
      <c r="G71" s="46" t="s">
        <v>1043</v>
      </c>
      <c r="H71" s="46" t="s">
        <v>1043</v>
      </c>
      <c r="I71" s="46" t="s">
        <v>1043</v>
      </c>
      <c r="J71" s="46" t="s">
        <v>1043</v>
      </c>
      <c r="K71" s="46" t="s">
        <v>1043</v>
      </c>
      <c r="L71" s="46" t="s">
        <v>1043</v>
      </c>
    </row>
    <row r="72" spans="2:12">
      <c r="B72" s="46" t="s">
        <v>536</v>
      </c>
      <c r="C72" s="46" t="s">
        <v>1043</v>
      </c>
      <c r="D72" s="46" t="s">
        <v>1043</v>
      </c>
      <c r="E72" s="46" t="s">
        <v>1043</v>
      </c>
      <c r="F72" s="46" t="s">
        <v>1043</v>
      </c>
      <c r="G72" s="46" t="s">
        <v>1043</v>
      </c>
      <c r="H72" s="46" t="s">
        <v>1043</v>
      </c>
      <c r="I72" s="46" t="s">
        <v>1043</v>
      </c>
      <c r="J72" s="46" t="s">
        <v>1043</v>
      </c>
      <c r="K72" s="46" t="s">
        <v>1043</v>
      </c>
      <c r="L72" s="46" t="s">
        <v>1043</v>
      </c>
    </row>
    <row r="73" spans="2:12">
      <c r="B73" s="46" t="s">
        <v>535</v>
      </c>
      <c r="C73" s="46" t="s">
        <v>1043</v>
      </c>
      <c r="D73" s="46" t="s">
        <v>1043</v>
      </c>
      <c r="E73" s="46" t="s">
        <v>1043</v>
      </c>
      <c r="F73" s="46" t="s">
        <v>1043</v>
      </c>
      <c r="G73" s="46" t="s">
        <v>1043</v>
      </c>
      <c r="H73" s="46" t="s">
        <v>1043</v>
      </c>
      <c r="I73" s="46" t="s">
        <v>1043</v>
      </c>
      <c r="J73" s="46" t="s">
        <v>1043</v>
      </c>
      <c r="K73" s="46" t="s">
        <v>1043</v>
      </c>
      <c r="L73" s="46" t="s">
        <v>1043</v>
      </c>
    </row>
    <row r="74" spans="2:12">
      <c r="B74" s="46" t="s">
        <v>534</v>
      </c>
      <c r="C74" s="46" t="s">
        <v>1043</v>
      </c>
      <c r="D74" s="46" t="s">
        <v>1043</v>
      </c>
      <c r="E74" s="46" t="s">
        <v>1043</v>
      </c>
      <c r="F74" s="46" t="s">
        <v>1043</v>
      </c>
      <c r="G74" s="46" t="s">
        <v>1043</v>
      </c>
      <c r="H74" s="46" t="s">
        <v>1043</v>
      </c>
      <c r="I74" s="46" t="s">
        <v>1043</v>
      </c>
      <c r="J74" s="46" t="s">
        <v>1043</v>
      </c>
      <c r="K74" s="46" t="s">
        <v>1043</v>
      </c>
      <c r="L74" s="46" t="s">
        <v>1043</v>
      </c>
    </row>
    <row r="75" spans="2:12">
      <c r="B75" s="46" t="s">
        <v>533</v>
      </c>
      <c r="C75" s="46" t="s">
        <v>1043</v>
      </c>
      <c r="D75" s="46" t="s">
        <v>1043</v>
      </c>
      <c r="E75" s="46" t="s">
        <v>1043</v>
      </c>
      <c r="F75" s="46" t="s">
        <v>1043</v>
      </c>
      <c r="G75" s="46" t="s">
        <v>1043</v>
      </c>
      <c r="H75" s="46" t="s">
        <v>1043</v>
      </c>
      <c r="I75" s="46" t="s">
        <v>1043</v>
      </c>
      <c r="J75" s="46" t="s">
        <v>1043</v>
      </c>
      <c r="K75" s="46" t="s">
        <v>1043</v>
      </c>
      <c r="L75" s="46" t="s">
        <v>1043</v>
      </c>
    </row>
    <row r="76" spans="2:12">
      <c r="B76" s="46" t="s">
        <v>532</v>
      </c>
      <c r="C76" s="46" t="s">
        <v>1043</v>
      </c>
      <c r="D76" s="46" t="s">
        <v>1043</v>
      </c>
      <c r="E76" s="46" t="s">
        <v>1043</v>
      </c>
      <c r="F76" s="46" t="s">
        <v>1043</v>
      </c>
      <c r="G76" s="46" t="s">
        <v>1043</v>
      </c>
      <c r="H76" s="46" t="s">
        <v>1043</v>
      </c>
      <c r="I76" s="46" t="s">
        <v>1043</v>
      </c>
      <c r="J76" s="46" t="s">
        <v>1043</v>
      </c>
      <c r="K76" s="46" t="s">
        <v>1043</v>
      </c>
      <c r="L76" s="46" t="s">
        <v>1043</v>
      </c>
    </row>
    <row r="77" spans="2:12">
      <c r="B77" s="46" t="s">
        <v>531</v>
      </c>
      <c r="C77" s="46" t="s">
        <v>1043</v>
      </c>
      <c r="D77" s="46" t="s">
        <v>1043</v>
      </c>
      <c r="E77" s="46" t="s">
        <v>1043</v>
      </c>
      <c r="F77" s="46" t="s">
        <v>1043</v>
      </c>
      <c r="G77" s="46" t="s">
        <v>1043</v>
      </c>
      <c r="H77" s="46" t="s">
        <v>1043</v>
      </c>
      <c r="I77" s="46" t="s">
        <v>1043</v>
      </c>
      <c r="J77" s="46" t="s">
        <v>1043</v>
      </c>
      <c r="K77" s="46" t="s">
        <v>1043</v>
      </c>
      <c r="L77" s="46" t="s">
        <v>1043</v>
      </c>
    </row>
    <row r="78" spans="2:12">
      <c r="B78" s="46" t="s">
        <v>530</v>
      </c>
      <c r="C78" s="46" t="s">
        <v>1043</v>
      </c>
      <c r="D78" s="46" t="s">
        <v>1043</v>
      </c>
      <c r="E78" s="46" t="s">
        <v>1043</v>
      </c>
      <c r="F78" s="46" t="s">
        <v>1043</v>
      </c>
      <c r="G78" s="46" t="s">
        <v>1043</v>
      </c>
      <c r="H78" s="46" t="s">
        <v>1043</v>
      </c>
      <c r="I78" s="46" t="s">
        <v>1043</v>
      </c>
      <c r="J78" s="46" t="s">
        <v>1043</v>
      </c>
      <c r="K78" s="46" t="s">
        <v>1043</v>
      </c>
      <c r="L78" s="46" t="s">
        <v>1043</v>
      </c>
    </row>
    <row r="79" spans="2:12">
      <c r="B79" s="46" t="s">
        <v>529</v>
      </c>
      <c r="C79" s="46" t="s">
        <v>1043</v>
      </c>
      <c r="D79" s="46" t="s">
        <v>1043</v>
      </c>
      <c r="E79" s="46" t="s">
        <v>1043</v>
      </c>
      <c r="F79" s="46" t="s">
        <v>1043</v>
      </c>
      <c r="G79" s="46" t="s">
        <v>1043</v>
      </c>
      <c r="H79" s="46" t="s">
        <v>1043</v>
      </c>
      <c r="I79" s="46" t="s">
        <v>1043</v>
      </c>
      <c r="J79" s="46" t="s">
        <v>1043</v>
      </c>
      <c r="K79" s="46" t="s">
        <v>1043</v>
      </c>
      <c r="L79" s="46" t="s">
        <v>1043</v>
      </c>
    </row>
    <row r="80" spans="2:12">
      <c r="B80" s="46" t="s">
        <v>528</v>
      </c>
      <c r="C80" s="46" t="s">
        <v>1043</v>
      </c>
      <c r="D80" s="46" t="s">
        <v>1043</v>
      </c>
      <c r="E80" s="46" t="s">
        <v>1043</v>
      </c>
      <c r="F80" s="46" t="s">
        <v>1043</v>
      </c>
      <c r="G80" s="46" t="s">
        <v>1043</v>
      </c>
      <c r="H80" s="46" t="s">
        <v>1043</v>
      </c>
      <c r="I80" s="46" t="s">
        <v>1043</v>
      </c>
      <c r="J80" s="46" t="s">
        <v>1043</v>
      </c>
      <c r="K80" s="46" t="s">
        <v>1043</v>
      </c>
      <c r="L80" s="46" t="s">
        <v>1043</v>
      </c>
    </row>
    <row r="81" spans="2:12">
      <c r="B81" s="46" t="s">
        <v>527</v>
      </c>
      <c r="C81" s="46" t="s">
        <v>1043</v>
      </c>
      <c r="D81" s="46" t="s">
        <v>1043</v>
      </c>
      <c r="E81" s="46" t="s">
        <v>1043</v>
      </c>
      <c r="F81" s="46" t="s">
        <v>1043</v>
      </c>
      <c r="G81" s="46" t="s">
        <v>1043</v>
      </c>
      <c r="H81" s="46" t="s">
        <v>1043</v>
      </c>
      <c r="I81" s="46" t="s">
        <v>1043</v>
      </c>
      <c r="J81" s="46" t="s">
        <v>1043</v>
      </c>
      <c r="K81" s="46" t="s">
        <v>1043</v>
      </c>
      <c r="L81" s="46" t="s">
        <v>1043</v>
      </c>
    </row>
    <row r="82" spans="2:12">
      <c r="B82" s="46" t="s">
        <v>526</v>
      </c>
      <c r="C82" s="46" t="s">
        <v>1043</v>
      </c>
      <c r="D82" s="46" t="s">
        <v>1043</v>
      </c>
      <c r="E82" s="46" t="s">
        <v>1043</v>
      </c>
      <c r="F82" s="46" t="s">
        <v>1043</v>
      </c>
      <c r="G82" s="46" t="s">
        <v>1043</v>
      </c>
      <c r="H82" s="46" t="s">
        <v>1043</v>
      </c>
      <c r="I82" s="46" t="s">
        <v>1043</v>
      </c>
      <c r="J82" s="46" t="s">
        <v>1043</v>
      </c>
      <c r="K82" s="46" t="s">
        <v>1043</v>
      </c>
      <c r="L82" s="46" t="s">
        <v>1043</v>
      </c>
    </row>
    <row r="83" spans="2:12">
      <c r="B83" s="46" t="s">
        <v>525</v>
      </c>
      <c r="C83" s="46" t="s">
        <v>1043</v>
      </c>
      <c r="D83" s="46" t="s">
        <v>1043</v>
      </c>
      <c r="E83" s="46" t="s">
        <v>1043</v>
      </c>
      <c r="F83" s="46" t="s">
        <v>1043</v>
      </c>
      <c r="G83" s="46" t="s">
        <v>1043</v>
      </c>
      <c r="H83" s="46" t="s">
        <v>1043</v>
      </c>
      <c r="I83" s="46" t="s">
        <v>1043</v>
      </c>
      <c r="J83" s="46" t="s">
        <v>1043</v>
      </c>
      <c r="K83" s="46" t="s">
        <v>1043</v>
      </c>
      <c r="L83" s="46" t="s">
        <v>1043</v>
      </c>
    </row>
    <row r="84" spans="2:12">
      <c r="B84" s="46" t="s">
        <v>524</v>
      </c>
      <c r="C84" s="46" t="s">
        <v>1043</v>
      </c>
      <c r="D84" s="46" t="s">
        <v>1043</v>
      </c>
      <c r="E84" s="46" t="s">
        <v>1043</v>
      </c>
      <c r="F84" s="46" t="s">
        <v>1043</v>
      </c>
      <c r="G84" s="46" t="s">
        <v>1043</v>
      </c>
      <c r="H84" s="46" t="s">
        <v>1043</v>
      </c>
      <c r="I84" s="46" t="s">
        <v>1043</v>
      </c>
      <c r="J84" s="46" t="s">
        <v>1043</v>
      </c>
      <c r="K84" s="46" t="s">
        <v>1043</v>
      </c>
      <c r="L84" s="46" t="s">
        <v>1043</v>
      </c>
    </row>
    <row r="85" spans="2:12">
      <c r="B85" s="46" t="s">
        <v>523</v>
      </c>
      <c r="C85" s="46" t="s">
        <v>1043</v>
      </c>
      <c r="D85" s="46" t="s">
        <v>1043</v>
      </c>
      <c r="E85" s="46" t="s">
        <v>1043</v>
      </c>
      <c r="F85" s="46" t="s">
        <v>1043</v>
      </c>
      <c r="G85" s="46" t="s">
        <v>1043</v>
      </c>
      <c r="H85" s="46" t="s">
        <v>1043</v>
      </c>
      <c r="I85" s="46" t="s">
        <v>1043</v>
      </c>
      <c r="J85" s="46" t="s">
        <v>1043</v>
      </c>
      <c r="K85" s="46" t="s">
        <v>1043</v>
      </c>
      <c r="L85" s="46" t="s">
        <v>1043</v>
      </c>
    </row>
    <row r="86" spans="2:12">
      <c r="B86" s="46" t="s">
        <v>522</v>
      </c>
      <c r="C86" s="46" t="s">
        <v>1043</v>
      </c>
      <c r="D86" s="46" t="s">
        <v>1043</v>
      </c>
      <c r="E86" s="46" t="s">
        <v>1043</v>
      </c>
      <c r="F86" s="46" t="s">
        <v>1043</v>
      </c>
      <c r="G86" s="46" t="s">
        <v>1043</v>
      </c>
      <c r="H86" s="46" t="s">
        <v>1043</v>
      </c>
      <c r="I86" s="46" t="s">
        <v>1043</v>
      </c>
      <c r="J86" s="46" t="s">
        <v>1043</v>
      </c>
      <c r="K86" s="46" t="s">
        <v>1043</v>
      </c>
      <c r="L86" s="46" t="s">
        <v>1043</v>
      </c>
    </row>
    <row r="87" spans="2:12">
      <c r="B87" s="46" t="s">
        <v>521</v>
      </c>
      <c r="C87" s="46" t="s">
        <v>1043</v>
      </c>
      <c r="D87" s="46" t="s">
        <v>1043</v>
      </c>
      <c r="E87" s="46" t="s">
        <v>1043</v>
      </c>
      <c r="F87" s="46" t="s">
        <v>1043</v>
      </c>
      <c r="G87" s="46" t="s">
        <v>1043</v>
      </c>
      <c r="H87" s="46" t="s">
        <v>1043</v>
      </c>
      <c r="I87" s="46" t="s">
        <v>1043</v>
      </c>
      <c r="J87" s="46" t="s">
        <v>1043</v>
      </c>
      <c r="K87" s="46" t="s">
        <v>1043</v>
      </c>
      <c r="L87" s="46" t="s">
        <v>1043</v>
      </c>
    </row>
    <row r="88" spans="2:12">
      <c r="B88" s="46" t="s">
        <v>520</v>
      </c>
      <c r="C88" s="46" t="s">
        <v>1043</v>
      </c>
      <c r="D88" s="46" t="s">
        <v>1043</v>
      </c>
      <c r="E88" s="46" t="s">
        <v>1043</v>
      </c>
      <c r="F88" s="46" t="s">
        <v>1043</v>
      </c>
      <c r="G88" s="46" t="s">
        <v>1043</v>
      </c>
      <c r="H88" s="46" t="s">
        <v>1043</v>
      </c>
      <c r="I88" s="46" t="s">
        <v>1043</v>
      </c>
      <c r="J88" s="46" t="s">
        <v>1043</v>
      </c>
      <c r="K88" s="46" t="s">
        <v>1043</v>
      </c>
      <c r="L88" s="46" t="s">
        <v>1043</v>
      </c>
    </row>
    <row r="89" spans="2:12">
      <c r="B89" s="46" t="s">
        <v>519</v>
      </c>
      <c r="C89" s="46" t="s">
        <v>1043</v>
      </c>
      <c r="D89" s="46" t="s">
        <v>1043</v>
      </c>
      <c r="E89" s="46" t="s">
        <v>1043</v>
      </c>
      <c r="F89" s="46" t="s">
        <v>1043</v>
      </c>
      <c r="G89" s="46" t="s">
        <v>1043</v>
      </c>
      <c r="H89" s="46" t="s">
        <v>1043</v>
      </c>
      <c r="I89" s="46" t="s">
        <v>1043</v>
      </c>
      <c r="J89" s="46" t="s">
        <v>1043</v>
      </c>
      <c r="K89" s="46" t="s">
        <v>1043</v>
      </c>
      <c r="L89" s="46" t="s">
        <v>1043</v>
      </c>
    </row>
    <row r="90" spans="2:12">
      <c r="B90" s="46" t="s">
        <v>518</v>
      </c>
      <c r="C90" s="46" t="s">
        <v>1043</v>
      </c>
      <c r="D90" s="46" t="s">
        <v>1043</v>
      </c>
      <c r="E90" s="46" t="s">
        <v>1043</v>
      </c>
      <c r="F90" s="46" t="s">
        <v>1043</v>
      </c>
      <c r="G90" s="46" t="s">
        <v>1043</v>
      </c>
      <c r="H90" s="46" t="s">
        <v>1043</v>
      </c>
      <c r="I90" s="46" t="s">
        <v>1043</v>
      </c>
      <c r="J90" s="46" t="s">
        <v>1043</v>
      </c>
      <c r="K90" s="46" t="s">
        <v>1043</v>
      </c>
      <c r="L90" s="46" t="s">
        <v>1043</v>
      </c>
    </row>
    <row r="91" spans="2:12">
      <c r="B91" s="46" t="s">
        <v>517</v>
      </c>
      <c r="C91" s="46" t="s">
        <v>1043</v>
      </c>
      <c r="D91" s="46" t="s">
        <v>1043</v>
      </c>
      <c r="E91" s="46" t="s">
        <v>1043</v>
      </c>
      <c r="F91" s="46" t="s">
        <v>1043</v>
      </c>
      <c r="G91" s="46" t="s">
        <v>1043</v>
      </c>
      <c r="H91" s="46" t="s">
        <v>1043</v>
      </c>
      <c r="I91" s="46" t="s">
        <v>1043</v>
      </c>
      <c r="J91" s="46" t="s">
        <v>1043</v>
      </c>
      <c r="K91" s="46" t="s">
        <v>1043</v>
      </c>
      <c r="L91" s="46" t="s">
        <v>1043</v>
      </c>
    </row>
    <row r="92" spans="2:12">
      <c r="B92" s="46" t="s">
        <v>516</v>
      </c>
      <c r="C92" s="46" t="s">
        <v>1043</v>
      </c>
      <c r="D92" s="46" t="s">
        <v>1043</v>
      </c>
      <c r="E92" s="46" t="s">
        <v>1043</v>
      </c>
      <c r="F92" s="46" t="s">
        <v>1043</v>
      </c>
      <c r="G92" s="46" t="s">
        <v>1043</v>
      </c>
      <c r="H92" s="46" t="s">
        <v>1043</v>
      </c>
      <c r="I92" s="46" t="s">
        <v>1043</v>
      </c>
      <c r="J92" s="46" t="s">
        <v>1043</v>
      </c>
      <c r="K92" s="46" t="s">
        <v>1043</v>
      </c>
      <c r="L92" s="46" t="s">
        <v>1043</v>
      </c>
    </row>
    <row r="93" spans="2:12">
      <c r="B93" s="46" t="s">
        <v>515</v>
      </c>
      <c r="C93" s="46" t="s">
        <v>1043</v>
      </c>
      <c r="D93" s="46" t="s">
        <v>1043</v>
      </c>
      <c r="E93" s="46" t="s">
        <v>1043</v>
      </c>
      <c r="F93" s="46" t="s">
        <v>1043</v>
      </c>
      <c r="G93" s="46" t="s">
        <v>1043</v>
      </c>
      <c r="H93" s="46" t="s">
        <v>1043</v>
      </c>
      <c r="I93" s="46" t="s">
        <v>1043</v>
      </c>
      <c r="J93" s="46" t="s">
        <v>1043</v>
      </c>
      <c r="K93" s="46" t="s">
        <v>1043</v>
      </c>
      <c r="L93" s="46" t="s">
        <v>1043</v>
      </c>
    </row>
    <row r="94" spans="2:12">
      <c r="B94" s="46" t="s">
        <v>514</v>
      </c>
      <c r="C94" s="46" t="s">
        <v>1043</v>
      </c>
      <c r="D94" s="46" t="s">
        <v>1043</v>
      </c>
      <c r="E94" s="46" t="s">
        <v>1043</v>
      </c>
      <c r="F94" s="46" t="s">
        <v>1043</v>
      </c>
      <c r="G94" s="46" t="s">
        <v>1043</v>
      </c>
      <c r="H94" s="46" t="s">
        <v>1043</v>
      </c>
      <c r="I94" s="46" t="s">
        <v>1043</v>
      </c>
      <c r="J94" s="46" t="s">
        <v>1043</v>
      </c>
      <c r="K94" s="46" t="s">
        <v>1043</v>
      </c>
      <c r="L94" s="46" t="s">
        <v>1043</v>
      </c>
    </row>
    <row r="95" spans="2:12">
      <c r="B95" s="46" t="s">
        <v>513</v>
      </c>
      <c r="C95" s="46" t="s">
        <v>1043</v>
      </c>
      <c r="D95" s="46" t="s">
        <v>1043</v>
      </c>
      <c r="E95" s="46" t="s">
        <v>1043</v>
      </c>
      <c r="F95" s="46" t="s">
        <v>1043</v>
      </c>
      <c r="G95" s="46" t="s">
        <v>1043</v>
      </c>
      <c r="H95" s="46" t="s">
        <v>1043</v>
      </c>
      <c r="I95" s="46" t="s">
        <v>1043</v>
      </c>
      <c r="J95" s="46" t="s">
        <v>1043</v>
      </c>
      <c r="K95" s="46" t="s">
        <v>1043</v>
      </c>
      <c r="L95" s="46" t="s">
        <v>1043</v>
      </c>
    </row>
    <row r="96" spans="2:12">
      <c r="B96" s="46" t="s">
        <v>512</v>
      </c>
      <c r="C96" s="46" t="s">
        <v>1043</v>
      </c>
      <c r="D96" s="46" t="s">
        <v>1043</v>
      </c>
      <c r="E96" s="46" t="s">
        <v>1043</v>
      </c>
      <c r="F96" s="46" t="s">
        <v>1043</v>
      </c>
      <c r="G96" s="46" t="s">
        <v>1043</v>
      </c>
      <c r="H96" s="46" t="s">
        <v>1043</v>
      </c>
      <c r="I96" s="46" t="s">
        <v>1043</v>
      </c>
      <c r="J96" s="46" t="s">
        <v>1043</v>
      </c>
      <c r="K96" s="46" t="s">
        <v>1043</v>
      </c>
      <c r="L96" s="46" t="s">
        <v>1043</v>
      </c>
    </row>
    <row r="97" spans="2:12">
      <c r="B97" s="46" t="s">
        <v>511</v>
      </c>
      <c r="C97" s="46" t="s">
        <v>1043</v>
      </c>
      <c r="D97" s="46" t="s">
        <v>1043</v>
      </c>
      <c r="E97" s="46" t="s">
        <v>1043</v>
      </c>
      <c r="F97" s="46" t="s">
        <v>1043</v>
      </c>
      <c r="G97" s="46" t="s">
        <v>1043</v>
      </c>
      <c r="H97" s="46" t="s">
        <v>1043</v>
      </c>
      <c r="I97" s="46" t="s">
        <v>1043</v>
      </c>
      <c r="J97" s="46" t="s">
        <v>1043</v>
      </c>
      <c r="K97" s="46" t="s">
        <v>1043</v>
      </c>
      <c r="L97" s="46" t="s">
        <v>1043</v>
      </c>
    </row>
    <row r="98" spans="2:12">
      <c r="B98" s="46" t="s">
        <v>510</v>
      </c>
      <c r="C98" s="46" t="s">
        <v>1043</v>
      </c>
      <c r="D98" s="46" t="s">
        <v>1043</v>
      </c>
      <c r="E98" s="46" t="s">
        <v>1043</v>
      </c>
      <c r="F98" s="46" t="s">
        <v>1043</v>
      </c>
      <c r="G98" s="46" t="s">
        <v>1043</v>
      </c>
      <c r="H98" s="46" t="s">
        <v>1043</v>
      </c>
      <c r="I98" s="46" t="s">
        <v>1043</v>
      </c>
      <c r="J98" s="46" t="s">
        <v>1043</v>
      </c>
      <c r="K98" s="46" t="s">
        <v>1043</v>
      </c>
      <c r="L98" s="46" t="s">
        <v>1043</v>
      </c>
    </row>
    <row r="99" spans="2:12">
      <c r="B99" s="46" t="s">
        <v>509</v>
      </c>
      <c r="C99" s="46" t="s">
        <v>1043</v>
      </c>
      <c r="D99" s="46" t="s">
        <v>1043</v>
      </c>
      <c r="E99" s="46" t="s">
        <v>1043</v>
      </c>
      <c r="F99" s="46" t="s">
        <v>1043</v>
      </c>
      <c r="G99" s="46" t="s">
        <v>1043</v>
      </c>
      <c r="H99" s="46" t="s">
        <v>1043</v>
      </c>
      <c r="I99" s="46" t="s">
        <v>1043</v>
      </c>
      <c r="J99" s="46" t="s">
        <v>1043</v>
      </c>
      <c r="K99" s="46" t="s">
        <v>1043</v>
      </c>
      <c r="L99" s="46" t="s">
        <v>1043</v>
      </c>
    </row>
    <row r="100" spans="2:12">
      <c r="B100" s="46" t="s">
        <v>508</v>
      </c>
      <c r="C100" s="46" t="s">
        <v>1043</v>
      </c>
      <c r="D100" s="46" t="s">
        <v>1043</v>
      </c>
      <c r="E100" s="46" t="s">
        <v>1043</v>
      </c>
      <c r="F100" s="46" t="s">
        <v>1043</v>
      </c>
      <c r="G100" s="46" t="s">
        <v>1043</v>
      </c>
      <c r="H100" s="46" t="s">
        <v>1043</v>
      </c>
      <c r="I100" s="46" t="s">
        <v>1043</v>
      </c>
      <c r="J100" s="46" t="s">
        <v>1043</v>
      </c>
      <c r="K100" s="46" t="s">
        <v>1043</v>
      </c>
      <c r="L100" s="46" t="s">
        <v>1043</v>
      </c>
    </row>
    <row r="101" spans="2:12">
      <c r="B101" s="46" t="s">
        <v>507</v>
      </c>
      <c r="C101" s="46" t="s">
        <v>1043</v>
      </c>
      <c r="D101" s="46" t="s">
        <v>1043</v>
      </c>
      <c r="E101" s="46" t="s">
        <v>1043</v>
      </c>
      <c r="F101" s="46" t="s">
        <v>1043</v>
      </c>
      <c r="G101" s="46" t="s">
        <v>1043</v>
      </c>
      <c r="H101" s="46" t="s">
        <v>1043</v>
      </c>
      <c r="I101" s="46" t="s">
        <v>1043</v>
      </c>
      <c r="J101" s="46" t="s">
        <v>1043</v>
      </c>
      <c r="K101" s="46" t="s">
        <v>1043</v>
      </c>
      <c r="L101" s="46" t="s">
        <v>1043</v>
      </c>
    </row>
    <row r="102" spans="2:12">
      <c r="B102" s="46" t="s">
        <v>506</v>
      </c>
      <c r="C102" s="46" t="s">
        <v>1043</v>
      </c>
      <c r="D102" s="46" t="s">
        <v>1043</v>
      </c>
      <c r="E102" s="46" t="s">
        <v>1043</v>
      </c>
      <c r="F102" s="46" t="s">
        <v>1043</v>
      </c>
      <c r="G102" s="46" t="s">
        <v>1043</v>
      </c>
      <c r="H102" s="46" t="s">
        <v>1043</v>
      </c>
      <c r="I102" s="46" t="s">
        <v>1043</v>
      </c>
      <c r="J102" s="46" t="s">
        <v>1043</v>
      </c>
      <c r="K102" s="46" t="s">
        <v>1043</v>
      </c>
      <c r="L102" s="46" t="s">
        <v>1043</v>
      </c>
    </row>
    <row r="103" spans="2:12">
      <c r="B103" s="46" t="s">
        <v>505</v>
      </c>
      <c r="C103" s="46" t="s">
        <v>1043</v>
      </c>
      <c r="D103" s="46" t="s">
        <v>1043</v>
      </c>
      <c r="E103" s="46" t="s">
        <v>1043</v>
      </c>
      <c r="F103" s="46" t="s">
        <v>1043</v>
      </c>
      <c r="G103" s="46" t="s">
        <v>1043</v>
      </c>
      <c r="H103" s="46" t="s">
        <v>1043</v>
      </c>
      <c r="I103" s="46" t="s">
        <v>1043</v>
      </c>
      <c r="J103" s="46" t="s">
        <v>1043</v>
      </c>
      <c r="K103" s="46" t="s">
        <v>1043</v>
      </c>
      <c r="L103" s="46" t="s">
        <v>1043</v>
      </c>
    </row>
    <row r="104" spans="2:12">
      <c r="B104" s="46" t="s">
        <v>504</v>
      </c>
      <c r="C104" s="46" t="s">
        <v>1043</v>
      </c>
      <c r="D104" s="46" t="s">
        <v>1043</v>
      </c>
      <c r="E104" s="46" t="s">
        <v>1043</v>
      </c>
      <c r="F104" s="46" t="s">
        <v>1043</v>
      </c>
      <c r="G104" s="46" t="s">
        <v>1043</v>
      </c>
      <c r="H104" s="46" t="s">
        <v>1043</v>
      </c>
      <c r="I104" s="46" t="s">
        <v>1043</v>
      </c>
      <c r="J104" s="46" t="s">
        <v>1043</v>
      </c>
      <c r="K104" s="46" t="s">
        <v>1043</v>
      </c>
      <c r="L104" s="46" t="s">
        <v>1043</v>
      </c>
    </row>
    <row r="105" spans="2:12">
      <c r="B105" s="46" t="s">
        <v>503</v>
      </c>
      <c r="C105" s="46" t="s">
        <v>1043</v>
      </c>
      <c r="D105" s="46" t="s">
        <v>1043</v>
      </c>
      <c r="E105" s="46" t="s">
        <v>1043</v>
      </c>
      <c r="F105" s="46" t="s">
        <v>1043</v>
      </c>
      <c r="G105" s="46" t="s">
        <v>1043</v>
      </c>
      <c r="H105" s="46" t="s">
        <v>1043</v>
      </c>
      <c r="I105" s="46" t="s">
        <v>1043</v>
      </c>
      <c r="J105" s="46" t="s">
        <v>1043</v>
      </c>
      <c r="K105" s="46" t="s">
        <v>1043</v>
      </c>
      <c r="L105" s="46" t="s">
        <v>1043</v>
      </c>
    </row>
    <row r="106" spans="2:12">
      <c r="B106" s="46" t="s">
        <v>502</v>
      </c>
      <c r="C106" s="46" t="s">
        <v>1043</v>
      </c>
      <c r="D106" s="46" t="s">
        <v>1043</v>
      </c>
      <c r="E106" s="46" t="s">
        <v>1043</v>
      </c>
      <c r="F106" s="46" t="s">
        <v>1043</v>
      </c>
      <c r="G106" s="46" t="s">
        <v>1043</v>
      </c>
      <c r="H106" s="46" t="s">
        <v>1043</v>
      </c>
      <c r="I106" s="46" t="s">
        <v>1043</v>
      </c>
      <c r="J106" s="46" t="s">
        <v>1043</v>
      </c>
      <c r="K106" s="46" t="s">
        <v>1043</v>
      </c>
      <c r="L106" s="46" t="s">
        <v>1043</v>
      </c>
    </row>
    <row r="107" spans="2:12">
      <c r="B107" s="46" t="s">
        <v>501</v>
      </c>
      <c r="C107" s="46" t="s">
        <v>1043</v>
      </c>
      <c r="D107" s="46" t="s">
        <v>1043</v>
      </c>
      <c r="E107" s="46" t="s">
        <v>1043</v>
      </c>
      <c r="F107" s="46" t="s">
        <v>1043</v>
      </c>
      <c r="G107" s="46" t="s">
        <v>1043</v>
      </c>
      <c r="H107" s="46" t="s">
        <v>1043</v>
      </c>
      <c r="I107" s="46" t="s">
        <v>1043</v>
      </c>
      <c r="J107" s="46" t="s">
        <v>1043</v>
      </c>
      <c r="K107" s="46" t="s">
        <v>1043</v>
      </c>
      <c r="L107" s="46" t="s">
        <v>1043</v>
      </c>
    </row>
    <row r="108" spans="2:12">
      <c r="B108" s="46" t="s">
        <v>500</v>
      </c>
      <c r="C108" s="46" t="s">
        <v>1043</v>
      </c>
      <c r="D108" s="46" t="s">
        <v>1043</v>
      </c>
      <c r="E108" s="46" t="s">
        <v>1043</v>
      </c>
      <c r="F108" s="46" t="s">
        <v>1043</v>
      </c>
      <c r="G108" s="46" t="s">
        <v>1043</v>
      </c>
      <c r="H108" s="46" t="s">
        <v>1043</v>
      </c>
      <c r="I108" s="46" t="s">
        <v>1043</v>
      </c>
      <c r="J108" s="46" t="s">
        <v>1043</v>
      </c>
      <c r="K108" s="46" t="s">
        <v>1043</v>
      </c>
      <c r="L108" s="46" t="s">
        <v>1043</v>
      </c>
    </row>
    <row r="109" spans="2:12">
      <c r="B109" s="46" t="s">
        <v>499</v>
      </c>
      <c r="C109" s="46" t="s">
        <v>1043</v>
      </c>
      <c r="D109" s="46" t="s">
        <v>1043</v>
      </c>
      <c r="E109" s="46" t="s">
        <v>1043</v>
      </c>
      <c r="F109" s="46" t="s">
        <v>1043</v>
      </c>
      <c r="G109" s="46" t="s">
        <v>1043</v>
      </c>
      <c r="H109" s="46" t="s">
        <v>1043</v>
      </c>
      <c r="I109" s="46" t="s">
        <v>1043</v>
      </c>
      <c r="J109" s="46" t="s">
        <v>1043</v>
      </c>
      <c r="K109" s="46" t="s">
        <v>1043</v>
      </c>
      <c r="L109" s="46" t="s">
        <v>1043</v>
      </c>
    </row>
    <row r="110" spans="2:12">
      <c r="B110" s="46" t="s">
        <v>498</v>
      </c>
      <c r="C110" s="46" t="s">
        <v>1043</v>
      </c>
      <c r="D110" s="46" t="s">
        <v>1043</v>
      </c>
      <c r="E110" s="46" t="s">
        <v>1043</v>
      </c>
      <c r="F110" s="46" t="s">
        <v>1043</v>
      </c>
      <c r="G110" s="46" t="s">
        <v>1043</v>
      </c>
      <c r="H110" s="46" t="s">
        <v>1043</v>
      </c>
      <c r="I110" s="46" t="s">
        <v>1043</v>
      </c>
      <c r="J110" s="46" t="s">
        <v>1043</v>
      </c>
      <c r="K110" s="46" t="s">
        <v>1043</v>
      </c>
      <c r="L110" s="46" t="s">
        <v>1043</v>
      </c>
    </row>
    <row r="111" spans="2:12">
      <c r="B111" s="46" t="s">
        <v>497</v>
      </c>
      <c r="C111" s="46" t="s">
        <v>1043</v>
      </c>
      <c r="D111" s="46" t="s">
        <v>1043</v>
      </c>
      <c r="E111" s="46" t="s">
        <v>1043</v>
      </c>
      <c r="F111" s="46" t="s">
        <v>1043</v>
      </c>
      <c r="G111" s="46" t="s">
        <v>1043</v>
      </c>
      <c r="H111" s="46" t="s">
        <v>1043</v>
      </c>
      <c r="I111" s="46" t="s">
        <v>1043</v>
      </c>
      <c r="J111" s="46" t="s">
        <v>1043</v>
      </c>
      <c r="K111" s="46" t="s">
        <v>1043</v>
      </c>
      <c r="L111" s="46" t="s">
        <v>1043</v>
      </c>
    </row>
    <row r="112" spans="2:12">
      <c r="B112" s="46" t="s">
        <v>496</v>
      </c>
      <c r="C112" s="46" t="s">
        <v>1043</v>
      </c>
      <c r="D112" s="46" t="s">
        <v>1043</v>
      </c>
      <c r="E112" s="46" t="s">
        <v>1043</v>
      </c>
      <c r="F112" s="46" t="s">
        <v>1043</v>
      </c>
      <c r="G112" s="46" t="s">
        <v>1043</v>
      </c>
      <c r="H112" s="46" t="s">
        <v>1043</v>
      </c>
      <c r="I112" s="46" t="s">
        <v>1043</v>
      </c>
      <c r="J112" s="46" t="s">
        <v>1043</v>
      </c>
      <c r="K112" s="46" t="s">
        <v>1043</v>
      </c>
      <c r="L112" s="46" t="s">
        <v>1043</v>
      </c>
    </row>
    <row r="113" spans="2:12">
      <c r="B113" s="46" t="s">
        <v>495</v>
      </c>
      <c r="C113" s="46" t="s">
        <v>1043</v>
      </c>
      <c r="D113" s="46" t="s">
        <v>1043</v>
      </c>
      <c r="E113" s="46" t="s">
        <v>1043</v>
      </c>
      <c r="F113" s="46" t="s">
        <v>1043</v>
      </c>
      <c r="G113" s="46" t="s">
        <v>1043</v>
      </c>
      <c r="H113" s="46" t="s">
        <v>1043</v>
      </c>
      <c r="I113" s="46" t="s">
        <v>1043</v>
      </c>
      <c r="J113" s="46" t="s">
        <v>1043</v>
      </c>
      <c r="K113" s="46" t="s">
        <v>1043</v>
      </c>
      <c r="L113" s="46" t="s">
        <v>1043</v>
      </c>
    </row>
    <row r="114" spans="2:12">
      <c r="B114" s="46" t="s">
        <v>494</v>
      </c>
      <c r="C114" s="46" t="s">
        <v>1043</v>
      </c>
      <c r="D114" s="46" t="s">
        <v>1043</v>
      </c>
      <c r="E114" s="46" t="s">
        <v>1043</v>
      </c>
      <c r="F114" s="46" t="s">
        <v>1043</v>
      </c>
      <c r="G114" s="46" t="s">
        <v>1043</v>
      </c>
      <c r="H114" s="46" t="s">
        <v>1043</v>
      </c>
      <c r="I114" s="46" t="s">
        <v>1043</v>
      </c>
      <c r="J114" s="46" t="s">
        <v>1043</v>
      </c>
      <c r="K114" s="46" t="s">
        <v>1043</v>
      </c>
      <c r="L114" s="46" t="s">
        <v>1043</v>
      </c>
    </row>
    <row r="115" spans="2:12">
      <c r="B115" s="46" t="s">
        <v>493</v>
      </c>
      <c r="C115" s="46" t="s">
        <v>1043</v>
      </c>
      <c r="D115" s="46" t="s">
        <v>1043</v>
      </c>
      <c r="E115" s="46" t="s">
        <v>1043</v>
      </c>
      <c r="F115" s="46" t="s">
        <v>1043</v>
      </c>
      <c r="G115" s="46" t="s">
        <v>1043</v>
      </c>
      <c r="H115" s="46" t="s">
        <v>1043</v>
      </c>
      <c r="I115" s="46" t="s">
        <v>1043</v>
      </c>
      <c r="J115" s="46" t="s">
        <v>1043</v>
      </c>
      <c r="K115" s="46" t="s">
        <v>1043</v>
      </c>
      <c r="L115" s="46" t="s">
        <v>1043</v>
      </c>
    </row>
    <row r="116" spans="2:12">
      <c r="B116" s="46" t="s">
        <v>492</v>
      </c>
      <c r="C116" s="46" t="s">
        <v>1043</v>
      </c>
      <c r="D116" s="46" t="s">
        <v>1043</v>
      </c>
      <c r="E116" s="46" t="s">
        <v>1043</v>
      </c>
      <c r="F116" s="46" t="s">
        <v>1043</v>
      </c>
      <c r="G116" s="46" t="s">
        <v>1043</v>
      </c>
      <c r="H116" s="46" t="s">
        <v>1043</v>
      </c>
      <c r="I116" s="46" t="s">
        <v>1043</v>
      </c>
      <c r="J116" s="46" t="s">
        <v>1043</v>
      </c>
      <c r="K116" s="46" t="s">
        <v>1043</v>
      </c>
      <c r="L116" s="46" t="s">
        <v>1043</v>
      </c>
    </row>
    <row r="117" spans="2:12">
      <c r="B117" s="46" t="s">
        <v>491</v>
      </c>
      <c r="C117" s="46" t="s">
        <v>1043</v>
      </c>
      <c r="D117" s="46" t="s">
        <v>1043</v>
      </c>
      <c r="E117" s="46" t="s">
        <v>1043</v>
      </c>
      <c r="F117" s="46" t="s">
        <v>1043</v>
      </c>
      <c r="G117" s="46" t="s">
        <v>1043</v>
      </c>
      <c r="H117" s="46" t="s">
        <v>1043</v>
      </c>
      <c r="I117" s="46" t="s">
        <v>1043</v>
      </c>
      <c r="J117" s="46" t="s">
        <v>1043</v>
      </c>
      <c r="K117" s="46" t="s">
        <v>1043</v>
      </c>
      <c r="L117" s="46" t="s">
        <v>1043</v>
      </c>
    </row>
    <row r="118" spans="2:12">
      <c r="B118" s="46" t="s">
        <v>490</v>
      </c>
      <c r="C118" s="46" t="s">
        <v>1043</v>
      </c>
      <c r="D118" s="46" t="s">
        <v>1043</v>
      </c>
      <c r="E118" s="46" t="s">
        <v>1043</v>
      </c>
      <c r="F118" s="46" t="s">
        <v>1043</v>
      </c>
      <c r="G118" s="46" t="s">
        <v>1043</v>
      </c>
      <c r="H118" s="46" t="s">
        <v>1043</v>
      </c>
      <c r="I118" s="46" t="s">
        <v>1043</v>
      </c>
      <c r="J118" s="46" t="s">
        <v>1043</v>
      </c>
      <c r="K118" s="46" t="s">
        <v>1043</v>
      </c>
      <c r="L118" s="46" t="s">
        <v>1043</v>
      </c>
    </row>
    <row r="119" spans="2:12">
      <c r="B119" s="46" t="s">
        <v>489</v>
      </c>
      <c r="C119" s="46" t="s">
        <v>1043</v>
      </c>
      <c r="D119" s="46" t="s">
        <v>1043</v>
      </c>
      <c r="E119" s="46" t="s">
        <v>1043</v>
      </c>
      <c r="F119" s="46" t="s">
        <v>1043</v>
      </c>
      <c r="G119" s="46" t="s">
        <v>1043</v>
      </c>
      <c r="H119" s="46" t="s">
        <v>1043</v>
      </c>
      <c r="I119" s="46" t="s">
        <v>1043</v>
      </c>
      <c r="J119" s="46" t="s">
        <v>1043</v>
      </c>
      <c r="K119" s="46" t="s">
        <v>1043</v>
      </c>
      <c r="L119" s="46" t="s">
        <v>1043</v>
      </c>
    </row>
    <row r="120" spans="2:12">
      <c r="B120" s="46" t="s">
        <v>488</v>
      </c>
      <c r="C120" s="46" t="s">
        <v>1043</v>
      </c>
      <c r="D120" s="46" t="s">
        <v>1043</v>
      </c>
      <c r="E120" s="46" t="s">
        <v>1043</v>
      </c>
      <c r="F120" s="46" t="s">
        <v>1043</v>
      </c>
      <c r="G120" s="46" t="s">
        <v>1043</v>
      </c>
      <c r="H120" s="46" t="s">
        <v>1043</v>
      </c>
      <c r="I120" s="46" t="s">
        <v>1043</v>
      </c>
      <c r="J120" s="46" t="s">
        <v>1043</v>
      </c>
      <c r="K120" s="46" t="s">
        <v>1043</v>
      </c>
      <c r="L120" s="46" t="s">
        <v>1043</v>
      </c>
    </row>
    <row r="121" spans="2:12">
      <c r="B121" s="46" t="s">
        <v>487</v>
      </c>
      <c r="C121" s="46" t="s">
        <v>1043</v>
      </c>
      <c r="D121" s="46" t="s">
        <v>1043</v>
      </c>
      <c r="E121" s="46" t="s">
        <v>1043</v>
      </c>
      <c r="F121" s="46" t="s">
        <v>1043</v>
      </c>
      <c r="G121" s="46" t="s">
        <v>1043</v>
      </c>
      <c r="H121" s="46" t="s">
        <v>1043</v>
      </c>
      <c r="I121" s="46" t="s">
        <v>1043</v>
      </c>
      <c r="J121" s="46" t="s">
        <v>1043</v>
      </c>
      <c r="K121" s="46" t="s">
        <v>1043</v>
      </c>
      <c r="L121" s="46" t="s">
        <v>1043</v>
      </c>
    </row>
    <row r="122" spans="2:12">
      <c r="B122" s="46" t="s">
        <v>486</v>
      </c>
      <c r="C122" s="46" t="s">
        <v>1043</v>
      </c>
      <c r="D122" s="46" t="s">
        <v>1043</v>
      </c>
      <c r="E122" s="46" t="s">
        <v>1043</v>
      </c>
      <c r="F122" s="46" t="s">
        <v>1043</v>
      </c>
      <c r="G122" s="46" t="s">
        <v>1043</v>
      </c>
      <c r="H122" s="46" t="s">
        <v>1043</v>
      </c>
      <c r="I122" s="46" t="s">
        <v>1043</v>
      </c>
      <c r="J122" s="46" t="s">
        <v>1043</v>
      </c>
      <c r="K122" s="46" t="s">
        <v>1043</v>
      </c>
      <c r="L122" s="46" t="s">
        <v>1043</v>
      </c>
    </row>
    <row r="123" spans="2:12">
      <c r="B123" s="46" t="s">
        <v>485</v>
      </c>
      <c r="C123" s="46" t="s">
        <v>1043</v>
      </c>
      <c r="D123" s="46" t="s">
        <v>1043</v>
      </c>
      <c r="E123" s="46" t="s">
        <v>1043</v>
      </c>
      <c r="F123" s="46" t="s">
        <v>1043</v>
      </c>
      <c r="G123" s="46" t="s">
        <v>1043</v>
      </c>
      <c r="H123" s="46" t="s">
        <v>1043</v>
      </c>
      <c r="I123" s="46" t="s">
        <v>1043</v>
      </c>
      <c r="J123" s="46" t="s">
        <v>1043</v>
      </c>
      <c r="K123" s="46" t="s">
        <v>1043</v>
      </c>
      <c r="L123" s="46" t="s">
        <v>1043</v>
      </c>
    </row>
    <row r="124" spans="2:12">
      <c r="B124" s="46" t="s">
        <v>484</v>
      </c>
      <c r="C124" s="46" t="s">
        <v>1043</v>
      </c>
      <c r="D124" s="46" t="s">
        <v>1043</v>
      </c>
      <c r="E124" s="46" t="s">
        <v>1043</v>
      </c>
      <c r="F124" s="46" t="s">
        <v>1043</v>
      </c>
      <c r="G124" s="46" t="s">
        <v>1043</v>
      </c>
      <c r="H124" s="46" t="s">
        <v>1043</v>
      </c>
      <c r="I124" s="46" t="s">
        <v>1043</v>
      </c>
      <c r="J124" s="46" t="s">
        <v>1043</v>
      </c>
      <c r="K124" s="46" t="s">
        <v>1043</v>
      </c>
      <c r="L124" s="46" t="s">
        <v>1043</v>
      </c>
    </row>
    <row r="125" spans="2:12">
      <c r="B125" s="46" t="s">
        <v>483</v>
      </c>
      <c r="C125" s="46" t="s">
        <v>1043</v>
      </c>
      <c r="D125" s="46" t="s">
        <v>1043</v>
      </c>
      <c r="E125" s="46" t="s">
        <v>1043</v>
      </c>
      <c r="F125" s="46" t="s">
        <v>1043</v>
      </c>
      <c r="G125" s="46" t="s">
        <v>1043</v>
      </c>
      <c r="H125" s="46" t="s">
        <v>1043</v>
      </c>
      <c r="I125" s="46" t="s">
        <v>1043</v>
      </c>
      <c r="J125" s="46" t="s">
        <v>1043</v>
      </c>
      <c r="K125" s="46" t="s">
        <v>1043</v>
      </c>
      <c r="L125" s="46" t="s">
        <v>1043</v>
      </c>
    </row>
    <row r="126" spans="2:12">
      <c r="B126" s="46" t="s">
        <v>482</v>
      </c>
      <c r="C126" s="46" t="s">
        <v>1043</v>
      </c>
      <c r="D126" s="46" t="s">
        <v>1043</v>
      </c>
      <c r="E126" s="46" t="s">
        <v>1043</v>
      </c>
      <c r="F126" s="46" t="s">
        <v>1043</v>
      </c>
      <c r="G126" s="46" t="s">
        <v>1043</v>
      </c>
      <c r="H126" s="46" t="s">
        <v>1043</v>
      </c>
      <c r="I126" s="46" t="s">
        <v>1043</v>
      </c>
      <c r="J126" s="46" t="s">
        <v>1043</v>
      </c>
      <c r="K126" s="46" t="s">
        <v>1043</v>
      </c>
      <c r="L126" s="46" t="s">
        <v>1043</v>
      </c>
    </row>
    <row r="127" spans="2:12">
      <c r="B127" s="46" t="s">
        <v>481</v>
      </c>
      <c r="C127" s="46" t="s">
        <v>1043</v>
      </c>
      <c r="D127" s="46" t="s">
        <v>1043</v>
      </c>
      <c r="E127" s="46" t="s">
        <v>1043</v>
      </c>
      <c r="F127" s="46" t="s">
        <v>1043</v>
      </c>
      <c r="G127" s="46" t="s">
        <v>1043</v>
      </c>
      <c r="H127" s="46" t="s">
        <v>1043</v>
      </c>
      <c r="I127" s="46" t="s">
        <v>1043</v>
      </c>
      <c r="J127" s="46" t="s">
        <v>1043</v>
      </c>
      <c r="K127" s="46" t="s">
        <v>1043</v>
      </c>
      <c r="L127" s="46" t="s">
        <v>1043</v>
      </c>
    </row>
    <row r="128" spans="2:12">
      <c r="B128" s="46" t="s">
        <v>480</v>
      </c>
      <c r="C128" s="46" t="s">
        <v>1043</v>
      </c>
      <c r="D128" s="46" t="s">
        <v>1043</v>
      </c>
      <c r="E128" s="46" t="s">
        <v>1043</v>
      </c>
      <c r="F128" s="46" t="s">
        <v>1043</v>
      </c>
      <c r="G128" s="46" t="s">
        <v>1043</v>
      </c>
      <c r="H128" s="46" t="s">
        <v>1043</v>
      </c>
      <c r="I128" s="46" t="s">
        <v>1043</v>
      </c>
      <c r="J128" s="46" t="s">
        <v>1043</v>
      </c>
      <c r="K128" s="46" t="s">
        <v>1043</v>
      </c>
      <c r="L128" s="46" t="s">
        <v>1043</v>
      </c>
    </row>
    <row r="129" spans="2:12">
      <c r="B129" s="46" t="s">
        <v>479</v>
      </c>
      <c r="C129" s="46" t="s">
        <v>1043</v>
      </c>
      <c r="D129" s="46" t="s">
        <v>1043</v>
      </c>
      <c r="E129" s="46" t="s">
        <v>1043</v>
      </c>
      <c r="F129" s="46" t="s">
        <v>1043</v>
      </c>
      <c r="G129" s="46" t="s">
        <v>1043</v>
      </c>
      <c r="H129" s="46" t="s">
        <v>1043</v>
      </c>
      <c r="I129" s="46" t="s">
        <v>1043</v>
      </c>
      <c r="J129" s="46" t="s">
        <v>1043</v>
      </c>
      <c r="K129" s="46" t="s">
        <v>1043</v>
      </c>
      <c r="L129" s="46" t="s">
        <v>1043</v>
      </c>
    </row>
    <row r="130" spans="2:12">
      <c r="B130" s="46" t="s">
        <v>478</v>
      </c>
      <c r="C130" s="46" t="s">
        <v>1043</v>
      </c>
      <c r="D130" s="46" t="s">
        <v>1043</v>
      </c>
      <c r="E130" s="46" t="s">
        <v>1043</v>
      </c>
      <c r="F130" s="46" t="s">
        <v>1043</v>
      </c>
      <c r="G130" s="46" t="s">
        <v>1043</v>
      </c>
      <c r="H130" s="46" t="s">
        <v>1043</v>
      </c>
      <c r="I130" s="46" t="s">
        <v>1043</v>
      </c>
      <c r="J130" s="46" t="s">
        <v>1043</v>
      </c>
      <c r="K130" s="46" t="s">
        <v>1043</v>
      </c>
      <c r="L130" s="46" t="s">
        <v>1043</v>
      </c>
    </row>
    <row r="131" spans="2:12">
      <c r="B131" s="46" t="s">
        <v>477</v>
      </c>
      <c r="C131" s="46" t="s">
        <v>1043</v>
      </c>
      <c r="D131" s="46" t="s">
        <v>1043</v>
      </c>
      <c r="E131" s="46" t="s">
        <v>1043</v>
      </c>
      <c r="F131" s="46" t="s">
        <v>1043</v>
      </c>
      <c r="G131" s="46" t="s">
        <v>1043</v>
      </c>
      <c r="H131" s="46" t="s">
        <v>1043</v>
      </c>
      <c r="I131" s="46" t="s">
        <v>1043</v>
      </c>
      <c r="J131" s="46" t="s">
        <v>1043</v>
      </c>
      <c r="K131" s="46" t="s">
        <v>1043</v>
      </c>
      <c r="L131" s="46" t="s">
        <v>1043</v>
      </c>
    </row>
    <row r="132" spans="2:12">
      <c r="B132" s="46" t="s">
        <v>476</v>
      </c>
      <c r="C132" s="46" t="s">
        <v>1043</v>
      </c>
      <c r="D132" s="46" t="s">
        <v>1043</v>
      </c>
      <c r="E132" s="46" t="s">
        <v>1043</v>
      </c>
      <c r="F132" s="46" t="s">
        <v>1043</v>
      </c>
      <c r="G132" s="46" t="s">
        <v>1043</v>
      </c>
      <c r="H132" s="46" t="s">
        <v>1043</v>
      </c>
      <c r="I132" s="46" t="s">
        <v>1043</v>
      </c>
      <c r="J132" s="46" t="s">
        <v>1043</v>
      </c>
      <c r="K132" s="46" t="s">
        <v>1043</v>
      </c>
      <c r="L132" s="46" t="s">
        <v>1043</v>
      </c>
    </row>
    <row r="133" spans="2:12">
      <c r="B133" s="46" t="s">
        <v>475</v>
      </c>
      <c r="C133" s="46" t="s">
        <v>1043</v>
      </c>
      <c r="D133" s="46" t="s">
        <v>1043</v>
      </c>
      <c r="E133" s="46" t="s">
        <v>1043</v>
      </c>
      <c r="F133" s="46" t="s">
        <v>1043</v>
      </c>
      <c r="G133" s="46" t="s">
        <v>1043</v>
      </c>
      <c r="H133" s="46" t="s">
        <v>1043</v>
      </c>
      <c r="I133" s="46" t="s">
        <v>1043</v>
      </c>
      <c r="J133" s="46" t="s">
        <v>1043</v>
      </c>
      <c r="K133" s="46" t="s">
        <v>1043</v>
      </c>
      <c r="L133" s="46" t="s">
        <v>1043</v>
      </c>
    </row>
    <row r="134" spans="2:12">
      <c r="B134" s="46" t="s">
        <v>474</v>
      </c>
      <c r="C134" s="46" t="s">
        <v>1043</v>
      </c>
      <c r="D134" s="46" t="s">
        <v>1043</v>
      </c>
      <c r="E134" s="46" t="s">
        <v>1043</v>
      </c>
      <c r="F134" s="46" t="s">
        <v>1043</v>
      </c>
      <c r="G134" s="46" t="s">
        <v>1043</v>
      </c>
      <c r="H134" s="46" t="s">
        <v>1043</v>
      </c>
      <c r="I134" s="46" t="s">
        <v>1043</v>
      </c>
      <c r="J134" s="46" t="s">
        <v>1043</v>
      </c>
      <c r="K134" s="46" t="s">
        <v>1043</v>
      </c>
      <c r="L134" s="46" t="s">
        <v>1043</v>
      </c>
    </row>
    <row r="135" spans="2:12">
      <c r="B135" s="46" t="s">
        <v>473</v>
      </c>
      <c r="C135" s="46" t="s">
        <v>1043</v>
      </c>
      <c r="D135" s="46" t="s">
        <v>1043</v>
      </c>
      <c r="E135" s="46" t="s">
        <v>1043</v>
      </c>
      <c r="F135" s="46" t="s">
        <v>1043</v>
      </c>
      <c r="G135" s="46" t="s">
        <v>1043</v>
      </c>
      <c r="H135" s="46" t="s">
        <v>1043</v>
      </c>
      <c r="I135" s="46" t="s">
        <v>1043</v>
      </c>
      <c r="J135" s="46" t="s">
        <v>1043</v>
      </c>
      <c r="K135" s="46" t="s">
        <v>1043</v>
      </c>
      <c r="L135" s="46" t="s">
        <v>1043</v>
      </c>
    </row>
    <row r="136" spans="2:12">
      <c r="B136" s="46" t="s">
        <v>472</v>
      </c>
      <c r="C136" s="46" t="s">
        <v>1043</v>
      </c>
      <c r="D136" s="46" t="s">
        <v>1043</v>
      </c>
      <c r="E136" s="46" t="s">
        <v>1043</v>
      </c>
      <c r="F136" s="46" t="s">
        <v>1043</v>
      </c>
      <c r="G136" s="46" t="s">
        <v>1043</v>
      </c>
      <c r="H136" s="46" t="s">
        <v>1043</v>
      </c>
      <c r="I136" s="46" t="s">
        <v>1043</v>
      </c>
      <c r="J136" s="46" t="s">
        <v>1043</v>
      </c>
      <c r="K136" s="46" t="s">
        <v>1043</v>
      </c>
      <c r="L136" s="46" t="s">
        <v>1043</v>
      </c>
    </row>
    <row r="137" spans="2:12">
      <c r="B137" s="46" t="s">
        <v>471</v>
      </c>
      <c r="C137" s="46" t="s">
        <v>1043</v>
      </c>
      <c r="D137" s="46" t="s">
        <v>1043</v>
      </c>
      <c r="E137" s="46" t="s">
        <v>1043</v>
      </c>
      <c r="F137" s="46" t="s">
        <v>1043</v>
      </c>
      <c r="G137" s="46" t="s">
        <v>1043</v>
      </c>
      <c r="H137" s="46" t="s">
        <v>1043</v>
      </c>
      <c r="I137" s="46" t="s">
        <v>1043</v>
      </c>
      <c r="J137" s="46" t="s">
        <v>1043</v>
      </c>
      <c r="K137" s="46" t="s">
        <v>1043</v>
      </c>
      <c r="L137" s="46" t="s">
        <v>1043</v>
      </c>
    </row>
    <row r="138" spans="2:12">
      <c r="B138" s="46" t="s">
        <v>470</v>
      </c>
      <c r="C138" s="46" t="s">
        <v>1043</v>
      </c>
      <c r="D138" s="46" t="s">
        <v>1043</v>
      </c>
      <c r="E138" s="46" t="s">
        <v>1043</v>
      </c>
      <c r="F138" s="46" t="s">
        <v>1043</v>
      </c>
      <c r="G138" s="46" t="s">
        <v>1043</v>
      </c>
      <c r="H138" s="46" t="s">
        <v>1043</v>
      </c>
      <c r="I138" s="46" t="s">
        <v>1043</v>
      </c>
      <c r="J138" s="46" t="s">
        <v>1043</v>
      </c>
      <c r="K138" s="46" t="s">
        <v>1043</v>
      </c>
      <c r="L138" s="46" t="s">
        <v>1043</v>
      </c>
    </row>
    <row r="139" spans="2:12">
      <c r="B139" s="46" t="s">
        <v>469</v>
      </c>
      <c r="C139" s="46" t="s">
        <v>1043</v>
      </c>
      <c r="D139" s="46" t="s">
        <v>1043</v>
      </c>
      <c r="E139" s="46" t="s">
        <v>1043</v>
      </c>
      <c r="F139" s="46" t="s">
        <v>1043</v>
      </c>
      <c r="G139" s="46" t="s">
        <v>1043</v>
      </c>
      <c r="H139" s="46" t="s">
        <v>1043</v>
      </c>
      <c r="I139" s="46" t="s">
        <v>1043</v>
      </c>
      <c r="J139" s="46" t="s">
        <v>1043</v>
      </c>
      <c r="K139" s="46" t="s">
        <v>1043</v>
      </c>
      <c r="L139" s="46" t="s">
        <v>1043</v>
      </c>
    </row>
    <row r="140" spans="2:12">
      <c r="B140" s="46" t="s">
        <v>468</v>
      </c>
      <c r="C140" s="46" t="s">
        <v>1043</v>
      </c>
      <c r="D140" s="46" t="s">
        <v>1043</v>
      </c>
      <c r="E140" s="46" t="s">
        <v>1043</v>
      </c>
      <c r="F140" s="46" t="s">
        <v>1043</v>
      </c>
      <c r="G140" s="46" t="s">
        <v>1043</v>
      </c>
      <c r="H140" s="46" t="s">
        <v>1043</v>
      </c>
      <c r="I140" s="46" t="s">
        <v>1043</v>
      </c>
      <c r="J140" s="46" t="s">
        <v>1043</v>
      </c>
      <c r="K140" s="46" t="s">
        <v>1043</v>
      </c>
      <c r="L140" s="46" t="s">
        <v>1043</v>
      </c>
    </row>
    <row r="141" spans="2:12">
      <c r="B141" s="46" t="s">
        <v>467</v>
      </c>
      <c r="C141" s="46" t="s">
        <v>1043</v>
      </c>
      <c r="D141" s="46" t="s">
        <v>1043</v>
      </c>
      <c r="E141" s="46" t="s">
        <v>1043</v>
      </c>
      <c r="F141" s="46" t="s">
        <v>1043</v>
      </c>
      <c r="G141" s="46" t="s">
        <v>1043</v>
      </c>
      <c r="H141" s="46" t="s">
        <v>1043</v>
      </c>
      <c r="I141" s="46" t="s">
        <v>1043</v>
      </c>
      <c r="J141" s="46" t="s">
        <v>1043</v>
      </c>
      <c r="K141" s="46" t="s">
        <v>1043</v>
      </c>
      <c r="L141" s="46" t="s">
        <v>1043</v>
      </c>
    </row>
    <row r="142" spans="2:12">
      <c r="B142" s="46" t="s">
        <v>466</v>
      </c>
      <c r="C142" s="46" t="s">
        <v>1043</v>
      </c>
      <c r="D142" s="46" t="s">
        <v>1043</v>
      </c>
      <c r="E142" s="46" t="s">
        <v>1043</v>
      </c>
      <c r="F142" s="46" t="s">
        <v>1043</v>
      </c>
      <c r="G142" s="46" t="s">
        <v>1043</v>
      </c>
      <c r="H142" s="46" t="s">
        <v>1043</v>
      </c>
      <c r="I142" s="46" t="s">
        <v>1043</v>
      </c>
      <c r="J142" s="46" t="s">
        <v>1043</v>
      </c>
      <c r="K142" s="46" t="s">
        <v>1043</v>
      </c>
      <c r="L142" s="46" t="s">
        <v>1043</v>
      </c>
    </row>
    <row r="143" spans="2:12">
      <c r="B143" s="46" t="s">
        <v>465</v>
      </c>
      <c r="C143" s="46" t="s">
        <v>1043</v>
      </c>
      <c r="D143" s="46" t="s">
        <v>1043</v>
      </c>
      <c r="E143" s="46" t="s">
        <v>1043</v>
      </c>
      <c r="F143" s="46" t="s">
        <v>1043</v>
      </c>
      <c r="G143" s="46" t="s">
        <v>1043</v>
      </c>
      <c r="H143" s="46" t="s">
        <v>1043</v>
      </c>
      <c r="I143" s="46" t="s">
        <v>1043</v>
      </c>
      <c r="J143" s="46" t="s">
        <v>1043</v>
      </c>
      <c r="K143" s="46" t="s">
        <v>1043</v>
      </c>
      <c r="L143" s="46" t="s">
        <v>1043</v>
      </c>
    </row>
    <row r="144" spans="2:12">
      <c r="B144" s="46" t="s">
        <v>464</v>
      </c>
      <c r="C144" s="46" t="s">
        <v>1043</v>
      </c>
      <c r="D144" s="46" t="s">
        <v>1043</v>
      </c>
      <c r="E144" s="46" t="s">
        <v>1043</v>
      </c>
      <c r="F144" s="46" t="s">
        <v>1043</v>
      </c>
      <c r="G144" s="46" t="s">
        <v>1043</v>
      </c>
      <c r="H144" s="46" t="s">
        <v>1043</v>
      </c>
      <c r="I144" s="46" t="s">
        <v>1043</v>
      </c>
      <c r="J144" s="46" t="s">
        <v>1043</v>
      </c>
      <c r="K144" s="46" t="s">
        <v>1043</v>
      </c>
      <c r="L144" s="46" t="s">
        <v>1043</v>
      </c>
    </row>
    <row r="145" spans="2:12">
      <c r="B145" s="46" t="s">
        <v>463</v>
      </c>
      <c r="C145" s="46" t="s">
        <v>1043</v>
      </c>
      <c r="D145" s="46" t="s">
        <v>1043</v>
      </c>
      <c r="E145" s="46" t="s">
        <v>1043</v>
      </c>
      <c r="F145" s="46" t="s">
        <v>1043</v>
      </c>
      <c r="G145" s="46" t="s">
        <v>1043</v>
      </c>
      <c r="H145" s="46" t="s">
        <v>1043</v>
      </c>
      <c r="I145" s="46" t="s">
        <v>1043</v>
      </c>
      <c r="J145" s="46" t="s">
        <v>1043</v>
      </c>
      <c r="K145" s="46" t="s">
        <v>1043</v>
      </c>
      <c r="L145" s="46" t="s">
        <v>1043</v>
      </c>
    </row>
    <row r="146" spans="2:12">
      <c r="B146" s="46" t="s">
        <v>462</v>
      </c>
      <c r="C146" s="46" t="s">
        <v>1043</v>
      </c>
      <c r="D146" s="46" t="s">
        <v>1043</v>
      </c>
      <c r="E146" s="46" t="s">
        <v>1043</v>
      </c>
      <c r="F146" s="46" t="s">
        <v>1043</v>
      </c>
      <c r="G146" s="46" t="s">
        <v>1043</v>
      </c>
      <c r="H146" s="46" t="s">
        <v>1043</v>
      </c>
      <c r="I146" s="46" t="s">
        <v>1043</v>
      </c>
      <c r="J146" s="46" t="s">
        <v>1043</v>
      </c>
      <c r="K146" s="46" t="s">
        <v>1043</v>
      </c>
      <c r="L146" s="46" t="s">
        <v>1043</v>
      </c>
    </row>
    <row r="147" spans="2:12">
      <c r="B147" s="46" t="s">
        <v>461</v>
      </c>
      <c r="C147" s="46" t="s">
        <v>1043</v>
      </c>
      <c r="D147" s="46" t="s">
        <v>1043</v>
      </c>
      <c r="E147" s="46" t="s">
        <v>1043</v>
      </c>
      <c r="F147" s="46" t="s">
        <v>1043</v>
      </c>
      <c r="G147" s="46" t="s">
        <v>1043</v>
      </c>
      <c r="H147" s="46" t="s">
        <v>1043</v>
      </c>
      <c r="I147" s="46" t="s">
        <v>1043</v>
      </c>
      <c r="J147" s="46" t="s">
        <v>1043</v>
      </c>
      <c r="K147" s="46" t="s">
        <v>1043</v>
      </c>
      <c r="L147" s="46" t="s">
        <v>1043</v>
      </c>
    </row>
    <row r="148" spans="2:12">
      <c r="B148" s="46" t="s">
        <v>460</v>
      </c>
      <c r="C148" s="46" t="s">
        <v>1043</v>
      </c>
      <c r="D148" s="46" t="s">
        <v>1043</v>
      </c>
      <c r="E148" s="46" t="s">
        <v>1043</v>
      </c>
      <c r="F148" s="46" t="s">
        <v>1043</v>
      </c>
      <c r="G148" s="46" t="s">
        <v>1043</v>
      </c>
      <c r="H148" s="46" t="s">
        <v>1043</v>
      </c>
      <c r="I148" s="46" t="s">
        <v>1043</v>
      </c>
      <c r="J148" s="46" t="s">
        <v>1043</v>
      </c>
      <c r="K148" s="46" t="s">
        <v>1043</v>
      </c>
      <c r="L148" s="46" t="s">
        <v>1043</v>
      </c>
    </row>
    <row r="149" spans="2:12">
      <c r="B149" s="46" t="s">
        <v>459</v>
      </c>
      <c r="C149" s="46" t="s">
        <v>1043</v>
      </c>
      <c r="D149" s="46" t="s">
        <v>1043</v>
      </c>
      <c r="E149" s="46" t="s">
        <v>1043</v>
      </c>
      <c r="F149" s="46" t="s">
        <v>1043</v>
      </c>
      <c r="G149" s="46" t="s">
        <v>1043</v>
      </c>
      <c r="H149" s="46" t="s">
        <v>1043</v>
      </c>
      <c r="I149" s="46" t="s">
        <v>1043</v>
      </c>
      <c r="J149" s="46" t="s">
        <v>1043</v>
      </c>
      <c r="K149" s="46" t="s">
        <v>1043</v>
      </c>
      <c r="L149" s="46" t="s">
        <v>1043</v>
      </c>
    </row>
    <row r="150" spans="2:12">
      <c r="B150" s="46" t="s">
        <v>458</v>
      </c>
      <c r="C150" s="46" t="s">
        <v>1043</v>
      </c>
      <c r="D150" s="46" t="s">
        <v>1043</v>
      </c>
      <c r="E150" s="46" t="s">
        <v>1043</v>
      </c>
      <c r="F150" s="46" t="s">
        <v>1043</v>
      </c>
      <c r="G150" s="46" t="s">
        <v>1043</v>
      </c>
      <c r="H150" s="46" t="s">
        <v>1043</v>
      </c>
      <c r="I150" s="46" t="s">
        <v>1043</v>
      </c>
      <c r="J150" s="46" t="s">
        <v>1043</v>
      </c>
      <c r="K150" s="46" t="s">
        <v>1043</v>
      </c>
      <c r="L150" s="46" t="s">
        <v>1043</v>
      </c>
    </row>
    <row r="151" spans="2:12">
      <c r="B151" s="46" t="s">
        <v>457</v>
      </c>
      <c r="C151" s="46" t="s">
        <v>1043</v>
      </c>
      <c r="D151" s="46" t="s">
        <v>1043</v>
      </c>
      <c r="E151" s="46" t="s">
        <v>1043</v>
      </c>
      <c r="F151" s="46" t="s">
        <v>1043</v>
      </c>
      <c r="G151" s="46" t="s">
        <v>1043</v>
      </c>
      <c r="H151" s="46" t="s">
        <v>1043</v>
      </c>
      <c r="I151" s="46" t="s">
        <v>1043</v>
      </c>
      <c r="J151" s="46" t="s">
        <v>1043</v>
      </c>
      <c r="K151" s="46" t="s">
        <v>1043</v>
      </c>
      <c r="L151" s="46" t="s">
        <v>1043</v>
      </c>
    </row>
    <row r="152" spans="2:12">
      <c r="B152" s="46" t="s">
        <v>456</v>
      </c>
      <c r="C152" s="46" t="s">
        <v>1043</v>
      </c>
      <c r="D152" s="46" t="s">
        <v>1043</v>
      </c>
      <c r="E152" s="46" t="s">
        <v>1043</v>
      </c>
      <c r="F152" s="46" t="s">
        <v>1043</v>
      </c>
      <c r="G152" s="46" t="s">
        <v>1043</v>
      </c>
      <c r="H152" s="46" t="s">
        <v>1043</v>
      </c>
      <c r="I152" s="46" t="s">
        <v>1043</v>
      </c>
      <c r="J152" s="46" t="s">
        <v>1043</v>
      </c>
      <c r="K152" s="46" t="s">
        <v>1043</v>
      </c>
      <c r="L152" s="46" t="s">
        <v>1043</v>
      </c>
    </row>
    <row r="153" spans="2:12">
      <c r="B153" s="46" t="s">
        <v>455</v>
      </c>
      <c r="C153" s="46" t="s">
        <v>1043</v>
      </c>
      <c r="D153" s="46" t="s">
        <v>1043</v>
      </c>
      <c r="E153" s="46" t="s">
        <v>1043</v>
      </c>
      <c r="F153" s="46" t="s">
        <v>1043</v>
      </c>
      <c r="G153" s="46" t="s">
        <v>1043</v>
      </c>
      <c r="H153" s="46" t="s">
        <v>1043</v>
      </c>
      <c r="I153" s="46" t="s">
        <v>1043</v>
      </c>
      <c r="J153" s="46" t="s">
        <v>1043</v>
      </c>
      <c r="K153" s="46" t="s">
        <v>1043</v>
      </c>
      <c r="L153" s="46" t="s">
        <v>1043</v>
      </c>
    </row>
    <row r="154" spans="2:12">
      <c r="B154" s="46" t="s">
        <v>454</v>
      </c>
      <c r="C154" s="46" t="s">
        <v>1043</v>
      </c>
      <c r="D154" s="46" t="s">
        <v>1043</v>
      </c>
      <c r="E154" s="46" t="s">
        <v>1043</v>
      </c>
      <c r="F154" s="46" t="s">
        <v>1043</v>
      </c>
      <c r="G154" s="46" t="s">
        <v>1043</v>
      </c>
      <c r="H154" s="46" t="s">
        <v>1043</v>
      </c>
      <c r="I154" s="46" t="s">
        <v>1043</v>
      </c>
      <c r="J154" s="46" t="s">
        <v>1043</v>
      </c>
      <c r="K154" s="46" t="s">
        <v>1043</v>
      </c>
      <c r="L154" s="46" t="s">
        <v>1043</v>
      </c>
    </row>
    <row r="155" spans="2:12">
      <c r="B155" s="46" t="s">
        <v>453</v>
      </c>
      <c r="C155" s="46" t="s">
        <v>1043</v>
      </c>
      <c r="D155" s="46" t="s">
        <v>1043</v>
      </c>
      <c r="E155" s="46" t="s">
        <v>1043</v>
      </c>
      <c r="F155" s="46" t="s">
        <v>1043</v>
      </c>
      <c r="G155" s="46" t="s">
        <v>1043</v>
      </c>
      <c r="H155" s="46" t="s">
        <v>1043</v>
      </c>
      <c r="I155" s="46" t="s">
        <v>1043</v>
      </c>
      <c r="J155" s="46" t="s">
        <v>1043</v>
      </c>
      <c r="K155" s="46" t="s">
        <v>1043</v>
      </c>
      <c r="L155" s="46" t="s">
        <v>1043</v>
      </c>
    </row>
    <row r="156" spans="2:12">
      <c r="B156" s="46" t="s">
        <v>452</v>
      </c>
      <c r="C156" s="46" t="s">
        <v>1043</v>
      </c>
      <c r="D156" s="46" t="s">
        <v>1043</v>
      </c>
      <c r="E156" s="46" t="s">
        <v>1043</v>
      </c>
      <c r="F156" s="46" t="s">
        <v>1043</v>
      </c>
      <c r="G156" s="46" t="s">
        <v>1043</v>
      </c>
      <c r="H156" s="46" t="s">
        <v>1043</v>
      </c>
      <c r="I156" s="46" t="s">
        <v>1043</v>
      </c>
      <c r="J156" s="46" t="s">
        <v>1043</v>
      </c>
      <c r="K156" s="46" t="s">
        <v>1043</v>
      </c>
      <c r="L156" s="46" t="s">
        <v>1043</v>
      </c>
    </row>
    <row r="157" spans="2:12">
      <c r="B157" s="46" t="s">
        <v>451</v>
      </c>
      <c r="C157" s="46" t="s">
        <v>1043</v>
      </c>
      <c r="D157" s="46" t="s">
        <v>1043</v>
      </c>
      <c r="E157" s="46" t="s">
        <v>1043</v>
      </c>
      <c r="F157" s="46" t="s">
        <v>1043</v>
      </c>
      <c r="G157" s="46" t="s">
        <v>1043</v>
      </c>
      <c r="H157" s="46" t="s">
        <v>1043</v>
      </c>
      <c r="I157" s="46" t="s">
        <v>1043</v>
      </c>
      <c r="J157" s="46" t="s">
        <v>1043</v>
      </c>
      <c r="K157" s="46" t="s">
        <v>1043</v>
      </c>
      <c r="L157" s="46" t="s">
        <v>1043</v>
      </c>
    </row>
    <row r="158" spans="2:12">
      <c r="B158" s="46" t="s">
        <v>450</v>
      </c>
      <c r="C158" s="46" t="s">
        <v>1043</v>
      </c>
      <c r="D158" s="46" t="s">
        <v>1043</v>
      </c>
      <c r="E158" s="46" t="s">
        <v>1043</v>
      </c>
      <c r="F158" s="46" t="s">
        <v>1043</v>
      </c>
      <c r="G158" s="46" t="s">
        <v>1043</v>
      </c>
      <c r="H158" s="46" t="s">
        <v>1043</v>
      </c>
      <c r="I158" s="46" t="s">
        <v>1043</v>
      </c>
      <c r="J158" s="46" t="s">
        <v>1043</v>
      </c>
      <c r="K158" s="46" t="s">
        <v>1043</v>
      </c>
      <c r="L158" s="46" t="s">
        <v>1043</v>
      </c>
    </row>
    <row r="159" spans="2:12">
      <c r="B159" s="46" t="s">
        <v>449</v>
      </c>
      <c r="C159" s="46" t="s">
        <v>1043</v>
      </c>
      <c r="D159" s="46" t="s">
        <v>1043</v>
      </c>
      <c r="E159" s="46" t="s">
        <v>1043</v>
      </c>
      <c r="F159" s="46" t="s">
        <v>1043</v>
      </c>
      <c r="G159" s="46" t="s">
        <v>1043</v>
      </c>
      <c r="H159" s="46" t="s">
        <v>1043</v>
      </c>
      <c r="I159" s="46" t="s">
        <v>1043</v>
      </c>
      <c r="J159" s="46" t="s">
        <v>1043</v>
      </c>
      <c r="K159" s="46" t="s">
        <v>1043</v>
      </c>
      <c r="L159" s="46" t="s">
        <v>1043</v>
      </c>
    </row>
    <row r="160" spans="2:12">
      <c r="B160" s="46" t="s">
        <v>448</v>
      </c>
      <c r="C160" s="46" t="s">
        <v>1043</v>
      </c>
      <c r="D160" s="46" t="s">
        <v>1043</v>
      </c>
      <c r="E160" s="46" t="s">
        <v>1043</v>
      </c>
      <c r="F160" s="46" t="s">
        <v>1043</v>
      </c>
      <c r="G160" s="46" t="s">
        <v>1043</v>
      </c>
      <c r="H160" s="46" t="s">
        <v>1043</v>
      </c>
      <c r="I160" s="46" t="s">
        <v>1043</v>
      </c>
      <c r="J160" s="46" t="s">
        <v>1043</v>
      </c>
      <c r="K160" s="46" t="s">
        <v>1043</v>
      </c>
      <c r="L160" s="46" t="s">
        <v>1043</v>
      </c>
    </row>
    <row r="161" spans="2:12">
      <c r="B161" s="46" t="s">
        <v>447</v>
      </c>
      <c r="C161" s="46" t="s">
        <v>1043</v>
      </c>
      <c r="D161" s="46" t="s">
        <v>1043</v>
      </c>
      <c r="E161" s="46" t="s">
        <v>1043</v>
      </c>
      <c r="F161" s="46" t="s">
        <v>1043</v>
      </c>
      <c r="G161" s="46" t="s">
        <v>1043</v>
      </c>
      <c r="H161" s="46" t="s">
        <v>1043</v>
      </c>
      <c r="I161" s="46" t="s">
        <v>1043</v>
      </c>
      <c r="J161" s="46" t="s">
        <v>1043</v>
      </c>
      <c r="K161" s="46" t="s">
        <v>1043</v>
      </c>
      <c r="L161" s="46" t="s">
        <v>1043</v>
      </c>
    </row>
    <row r="162" spans="2:12">
      <c r="B162" s="46" t="s">
        <v>446</v>
      </c>
      <c r="C162" s="46" t="s">
        <v>1043</v>
      </c>
      <c r="D162" s="46" t="s">
        <v>1043</v>
      </c>
      <c r="E162" s="46" t="s">
        <v>1043</v>
      </c>
      <c r="F162" s="46" t="s">
        <v>1043</v>
      </c>
      <c r="G162" s="46" t="s">
        <v>1043</v>
      </c>
      <c r="H162" s="46" t="s">
        <v>1043</v>
      </c>
      <c r="I162" s="46" t="s">
        <v>1043</v>
      </c>
      <c r="J162" s="46" t="s">
        <v>1043</v>
      </c>
      <c r="K162" s="46" t="s">
        <v>1043</v>
      </c>
      <c r="L162" s="46" t="s">
        <v>1043</v>
      </c>
    </row>
    <row r="163" spans="2:12">
      <c r="B163" s="46" t="s">
        <v>445</v>
      </c>
      <c r="C163" s="46" t="s">
        <v>1043</v>
      </c>
      <c r="D163" s="46" t="s">
        <v>1043</v>
      </c>
      <c r="E163" s="46" t="s">
        <v>1043</v>
      </c>
      <c r="F163" s="46" t="s">
        <v>1043</v>
      </c>
      <c r="G163" s="46" t="s">
        <v>1043</v>
      </c>
      <c r="H163" s="46" t="s">
        <v>1043</v>
      </c>
      <c r="I163" s="46" t="s">
        <v>1043</v>
      </c>
      <c r="J163" s="46" t="s">
        <v>1043</v>
      </c>
      <c r="K163" s="46" t="s">
        <v>1043</v>
      </c>
      <c r="L163" s="46" t="s">
        <v>1043</v>
      </c>
    </row>
    <row r="164" spans="2:12">
      <c r="B164" s="46" t="s">
        <v>444</v>
      </c>
      <c r="C164" s="46" t="s">
        <v>1043</v>
      </c>
      <c r="D164" s="46" t="s">
        <v>1043</v>
      </c>
      <c r="E164" s="46" t="s">
        <v>1043</v>
      </c>
      <c r="F164" s="46" t="s">
        <v>1043</v>
      </c>
      <c r="G164" s="46" t="s">
        <v>1043</v>
      </c>
      <c r="H164" s="46" t="s">
        <v>1043</v>
      </c>
      <c r="I164" s="46" t="s">
        <v>1043</v>
      </c>
      <c r="J164" s="46" t="s">
        <v>1043</v>
      </c>
      <c r="K164" s="46" t="s">
        <v>1043</v>
      </c>
      <c r="L164" s="46" t="s">
        <v>1043</v>
      </c>
    </row>
    <row r="165" spans="2:12">
      <c r="B165" s="46" t="s">
        <v>443</v>
      </c>
      <c r="C165" s="46" t="s">
        <v>1043</v>
      </c>
      <c r="D165" s="46" t="s">
        <v>1043</v>
      </c>
      <c r="E165" s="46" t="s">
        <v>1043</v>
      </c>
      <c r="F165" s="46" t="s">
        <v>1043</v>
      </c>
      <c r="G165" s="46" t="s">
        <v>1043</v>
      </c>
      <c r="H165" s="46" t="s">
        <v>1043</v>
      </c>
      <c r="I165" s="46" t="s">
        <v>1043</v>
      </c>
      <c r="J165" s="46" t="s">
        <v>1043</v>
      </c>
      <c r="K165" s="46" t="s">
        <v>1043</v>
      </c>
      <c r="L165" s="46" t="s">
        <v>1043</v>
      </c>
    </row>
    <row r="166" spans="2:12">
      <c r="B166" s="46" t="s">
        <v>442</v>
      </c>
      <c r="C166" s="46" t="s">
        <v>1043</v>
      </c>
      <c r="D166" s="46" t="s">
        <v>1043</v>
      </c>
      <c r="E166" s="46" t="s">
        <v>1043</v>
      </c>
      <c r="F166" s="46" t="s">
        <v>1043</v>
      </c>
      <c r="G166" s="46" t="s">
        <v>1043</v>
      </c>
      <c r="H166" s="46" t="s">
        <v>1043</v>
      </c>
      <c r="I166" s="46" t="s">
        <v>1043</v>
      </c>
      <c r="J166" s="46" t="s">
        <v>1043</v>
      </c>
      <c r="K166" s="46" t="s">
        <v>1043</v>
      </c>
      <c r="L166" s="46" t="s">
        <v>1043</v>
      </c>
    </row>
    <row r="167" spans="2:12">
      <c r="B167" s="46" t="s">
        <v>441</v>
      </c>
      <c r="C167" s="46" t="s">
        <v>1043</v>
      </c>
      <c r="D167" s="46" t="s">
        <v>1043</v>
      </c>
      <c r="E167" s="46" t="s">
        <v>1043</v>
      </c>
      <c r="F167" s="46" t="s">
        <v>1043</v>
      </c>
      <c r="G167" s="46" t="s">
        <v>1043</v>
      </c>
      <c r="H167" s="46" t="s">
        <v>1043</v>
      </c>
      <c r="I167" s="46" t="s">
        <v>1043</v>
      </c>
      <c r="J167" s="46" t="s">
        <v>1043</v>
      </c>
      <c r="K167" s="46" t="s">
        <v>1043</v>
      </c>
      <c r="L167" s="46" t="s">
        <v>1043</v>
      </c>
    </row>
    <row r="168" spans="2:12">
      <c r="B168" s="46" t="s">
        <v>440</v>
      </c>
      <c r="C168" s="46" t="s">
        <v>1043</v>
      </c>
      <c r="D168" s="46" t="s">
        <v>1043</v>
      </c>
      <c r="E168" s="46" t="s">
        <v>1043</v>
      </c>
      <c r="F168" s="46" t="s">
        <v>1043</v>
      </c>
      <c r="G168" s="46" t="s">
        <v>1043</v>
      </c>
      <c r="H168" s="46" t="s">
        <v>1043</v>
      </c>
      <c r="I168" s="46" t="s">
        <v>1043</v>
      </c>
      <c r="J168" s="46" t="s">
        <v>1043</v>
      </c>
      <c r="K168" s="46" t="s">
        <v>1043</v>
      </c>
      <c r="L168" s="46" t="s">
        <v>1043</v>
      </c>
    </row>
    <row r="169" spans="2:12">
      <c r="B169" s="46" t="s">
        <v>439</v>
      </c>
      <c r="C169" s="46" t="s">
        <v>1043</v>
      </c>
      <c r="D169" s="46" t="s">
        <v>1043</v>
      </c>
      <c r="E169" s="46" t="s">
        <v>1043</v>
      </c>
      <c r="F169" s="46" t="s">
        <v>1043</v>
      </c>
      <c r="G169" s="46" t="s">
        <v>1043</v>
      </c>
      <c r="H169" s="46" t="s">
        <v>1043</v>
      </c>
      <c r="I169" s="46" t="s">
        <v>1043</v>
      </c>
      <c r="J169" s="46" t="s">
        <v>1043</v>
      </c>
      <c r="K169" s="46" t="s">
        <v>1043</v>
      </c>
      <c r="L169" s="46" t="s">
        <v>1043</v>
      </c>
    </row>
    <row r="170" spans="2:12">
      <c r="B170" s="46" t="s">
        <v>438</v>
      </c>
      <c r="C170" s="46" t="s">
        <v>1043</v>
      </c>
      <c r="D170" s="46" t="s">
        <v>1043</v>
      </c>
      <c r="E170" s="46" t="s">
        <v>1043</v>
      </c>
      <c r="F170" s="46" t="s">
        <v>1043</v>
      </c>
      <c r="G170" s="46" t="s">
        <v>1043</v>
      </c>
      <c r="H170" s="46" t="s">
        <v>1043</v>
      </c>
      <c r="I170" s="46" t="s">
        <v>1043</v>
      </c>
      <c r="J170" s="46" t="s">
        <v>1043</v>
      </c>
      <c r="K170" s="46" t="s">
        <v>1043</v>
      </c>
      <c r="L170" s="46" t="s">
        <v>1043</v>
      </c>
    </row>
    <row r="171" spans="2:12">
      <c r="B171" s="46" t="s">
        <v>437</v>
      </c>
      <c r="C171" s="46" t="s">
        <v>1043</v>
      </c>
      <c r="D171" s="46" t="s">
        <v>1043</v>
      </c>
      <c r="E171" s="46" t="s">
        <v>1043</v>
      </c>
      <c r="F171" s="46" t="s">
        <v>1043</v>
      </c>
      <c r="G171" s="46" t="s">
        <v>1043</v>
      </c>
      <c r="H171" s="46" t="s">
        <v>1043</v>
      </c>
      <c r="I171" s="46" t="s">
        <v>1043</v>
      </c>
      <c r="J171" s="46" t="s">
        <v>1043</v>
      </c>
      <c r="K171" s="46" t="s">
        <v>1043</v>
      </c>
      <c r="L171" s="46" t="s">
        <v>1043</v>
      </c>
    </row>
    <row r="172" spans="2:12">
      <c r="B172" s="46" t="s">
        <v>436</v>
      </c>
      <c r="C172" s="46" t="s">
        <v>1043</v>
      </c>
      <c r="D172" s="46" t="s">
        <v>1043</v>
      </c>
      <c r="E172" s="46" t="s">
        <v>1043</v>
      </c>
      <c r="F172" s="46" t="s">
        <v>1043</v>
      </c>
      <c r="G172" s="46" t="s">
        <v>1043</v>
      </c>
      <c r="H172" s="46" t="s">
        <v>1043</v>
      </c>
      <c r="I172" s="46" t="s">
        <v>1043</v>
      </c>
      <c r="J172" s="46" t="s">
        <v>1043</v>
      </c>
      <c r="K172" s="46" t="s">
        <v>1043</v>
      </c>
      <c r="L172" s="46" t="s">
        <v>1043</v>
      </c>
    </row>
    <row r="173" spans="2:12">
      <c r="B173" s="46" t="s">
        <v>435</v>
      </c>
      <c r="C173" s="46" t="s">
        <v>1043</v>
      </c>
      <c r="D173" s="46" t="s">
        <v>1043</v>
      </c>
      <c r="E173" s="46" t="s">
        <v>1043</v>
      </c>
      <c r="F173" s="46" t="s">
        <v>1043</v>
      </c>
      <c r="G173" s="46" t="s">
        <v>1043</v>
      </c>
      <c r="H173" s="46" t="s">
        <v>1043</v>
      </c>
      <c r="I173" s="46" t="s">
        <v>1043</v>
      </c>
      <c r="J173" s="46" t="s">
        <v>1043</v>
      </c>
      <c r="K173" s="46" t="s">
        <v>1043</v>
      </c>
      <c r="L173" s="46" t="s">
        <v>1043</v>
      </c>
    </row>
    <row r="174" spans="2:12">
      <c r="B174" s="46" t="s">
        <v>434</v>
      </c>
      <c r="C174" s="46" t="s">
        <v>1043</v>
      </c>
      <c r="D174" s="46" t="s">
        <v>1043</v>
      </c>
      <c r="E174" s="46" t="s">
        <v>1043</v>
      </c>
      <c r="F174" s="46" t="s">
        <v>1043</v>
      </c>
      <c r="G174" s="46" t="s">
        <v>1043</v>
      </c>
      <c r="H174" s="46" t="s">
        <v>1043</v>
      </c>
      <c r="I174" s="46" t="s">
        <v>1043</v>
      </c>
      <c r="J174" s="46" t="s">
        <v>1043</v>
      </c>
      <c r="K174" s="46" t="s">
        <v>1043</v>
      </c>
      <c r="L174" s="46" t="s">
        <v>1043</v>
      </c>
    </row>
    <row r="175" spans="2:12">
      <c r="B175" s="46" t="s">
        <v>433</v>
      </c>
      <c r="C175" s="46" t="s">
        <v>1043</v>
      </c>
      <c r="D175" s="46" t="s">
        <v>1043</v>
      </c>
      <c r="E175" s="46" t="s">
        <v>1043</v>
      </c>
      <c r="F175" s="46" t="s">
        <v>1043</v>
      </c>
      <c r="G175" s="46" t="s">
        <v>1043</v>
      </c>
      <c r="H175" s="46" t="s">
        <v>1043</v>
      </c>
      <c r="I175" s="46" t="s">
        <v>1043</v>
      </c>
      <c r="J175" s="46" t="s">
        <v>1043</v>
      </c>
      <c r="K175" s="46" t="s">
        <v>1043</v>
      </c>
      <c r="L175" s="46" t="s">
        <v>1043</v>
      </c>
    </row>
    <row r="176" spans="2:12">
      <c r="B176" s="46" t="s">
        <v>432</v>
      </c>
      <c r="C176" s="46" t="s">
        <v>1043</v>
      </c>
      <c r="D176" s="46" t="s">
        <v>1043</v>
      </c>
      <c r="E176" s="46" t="s">
        <v>1043</v>
      </c>
      <c r="F176" s="46" t="s">
        <v>1043</v>
      </c>
      <c r="G176" s="46" t="s">
        <v>1043</v>
      </c>
      <c r="H176" s="46" t="s">
        <v>1043</v>
      </c>
      <c r="I176" s="46" t="s">
        <v>1043</v>
      </c>
      <c r="J176" s="46" t="s">
        <v>1043</v>
      </c>
      <c r="K176" s="46" t="s">
        <v>1043</v>
      </c>
      <c r="L176" s="46" t="s">
        <v>1043</v>
      </c>
    </row>
    <row r="177" spans="2:12">
      <c r="B177" s="46" t="s">
        <v>431</v>
      </c>
      <c r="C177" s="46" t="s">
        <v>1043</v>
      </c>
      <c r="D177" s="46" t="s">
        <v>1043</v>
      </c>
      <c r="E177" s="46" t="s">
        <v>1043</v>
      </c>
      <c r="F177" s="46" t="s">
        <v>1043</v>
      </c>
      <c r="G177" s="46" t="s">
        <v>1043</v>
      </c>
      <c r="H177" s="46" t="s">
        <v>1043</v>
      </c>
      <c r="I177" s="46" t="s">
        <v>1043</v>
      </c>
      <c r="J177" s="46" t="s">
        <v>1043</v>
      </c>
      <c r="K177" s="46" t="s">
        <v>1043</v>
      </c>
      <c r="L177" s="46" t="s">
        <v>1043</v>
      </c>
    </row>
    <row r="178" spans="2:12">
      <c r="B178" s="46" t="s">
        <v>430</v>
      </c>
      <c r="C178" s="46" t="s">
        <v>1043</v>
      </c>
      <c r="D178" s="46" t="s">
        <v>1043</v>
      </c>
      <c r="E178" s="46" t="s">
        <v>1043</v>
      </c>
      <c r="F178" s="46" t="s">
        <v>1043</v>
      </c>
      <c r="G178" s="46" t="s">
        <v>1043</v>
      </c>
      <c r="H178" s="46" t="s">
        <v>1043</v>
      </c>
      <c r="I178" s="46" t="s">
        <v>1043</v>
      </c>
      <c r="J178" s="46" t="s">
        <v>1043</v>
      </c>
      <c r="K178" s="46" t="s">
        <v>1043</v>
      </c>
      <c r="L178" s="46" t="s">
        <v>1043</v>
      </c>
    </row>
    <row r="179" spans="2:12">
      <c r="B179" s="46" t="s">
        <v>429</v>
      </c>
      <c r="C179" s="46" t="s">
        <v>1043</v>
      </c>
      <c r="D179" s="46" t="s">
        <v>1043</v>
      </c>
      <c r="E179" s="46" t="s">
        <v>1043</v>
      </c>
      <c r="F179" s="46" t="s">
        <v>1043</v>
      </c>
      <c r="G179" s="46" t="s">
        <v>1043</v>
      </c>
      <c r="H179" s="46" t="s">
        <v>1043</v>
      </c>
      <c r="I179" s="46" t="s">
        <v>1043</v>
      </c>
      <c r="J179" s="46" t="s">
        <v>1043</v>
      </c>
      <c r="K179" s="46" t="s">
        <v>1043</v>
      </c>
      <c r="L179" s="46" t="s">
        <v>1043</v>
      </c>
    </row>
    <row r="180" spans="2:12">
      <c r="B180" s="46" t="s">
        <v>428</v>
      </c>
      <c r="C180" s="46" t="s">
        <v>1043</v>
      </c>
      <c r="D180" s="46" t="s">
        <v>1043</v>
      </c>
      <c r="E180" s="46" t="s">
        <v>1043</v>
      </c>
      <c r="F180" s="46" t="s">
        <v>1043</v>
      </c>
      <c r="G180" s="46" t="s">
        <v>1043</v>
      </c>
      <c r="H180" s="46" t="s">
        <v>1043</v>
      </c>
      <c r="I180" s="46" t="s">
        <v>1043</v>
      </c>
      <c r="J180" s="46" t="s">
        <v>1043</v>
      </c>
      <c r="K180" s="46" t="s">
        <v>1043</v>
      </c>
      <c r="L180" s="46" t="s">
        <v>1043</v>
      </c>
    </row>
    <row r="181" spans="2:12">
      <c r="B181" s="46" t="s">
        <v>427</v>
      </c>
      <c r="C181" s="46" t="s">
        <v>1043</v>
      </c>
      <c r="D181" s="46" t="s">
        <v>1043</v>
      </c>
      <c r="E181" s="46" t="s">
        <v>1043</v>
      </c>
      <c r="F181" s="46" t="s">
        <v>1043</v>
      </c>
      <c r="G181" s="46" t="s">
        <v>1043</v>
      </c>
      <c r="H181" s="46" t="s">
        <v>1043</v>
      </c>
      <c r="I181" s="46" t="s">
        <v>1043</v>
      </c>
      <c r="J181" s="46" t="s">
        <v>1043</v>
      </c>
      <c r="K181" s="46" t="s">
        <v>1043</v>
      </c>
      <c r="L181" s="46" t="s">
        <v>1043</v>
      </c>
    </row>
    <row r="182" spans="2:12">
      <c r="B182" s="46" t="s">
        <v>426</v>
      </c>
      <c r="C182" s="46" t="s">
        <v>1043</v>
      </c>
      <c r="D182" s="46" t="s">
        <v>1043</v>
      </c>
      <c r="E182" s="46" t="s">
        <v>1043</v>
      </c>
      <c r="F182" s="46" t="s">
        <v>1043</v>
      </c>
      <c r="G182" s="46" t="s">
        <v>1043</v>
      </c>
      <c r="H182" s="46" t="s">
        <v>1043</v>
      </c>
      <c r="I182" s="46" t="s">
        <v>1043</v>
      </c>
      <c r="J182" s="46" t="s">
        <v>1043</v>
      </c>
      <c r="K182" s="46" t="s">
        <v>1043</v>
      </c>
      <c r="L182" s="46" t="s">
        <v>1043</v>
      </c>
    </row>
    <row r="183" spans="2:12">
      <c r="B183" s="46" t="s">
        <v>425</v>
      </c>
      <c r="C183" s="46" t="s">
        <v>1043</v>
      </c>
      <c r="D183" s="46" t="s">
        <v>1043</v>
      </c>
      <c r="E183" s="46" t="s">
        <v>1043</v>
      </c>
      <c r="F183" s="46" t="s">
        <v>1043</v>
      </c>
      <c r="G183" s="46" t="s">
        <v>1043</v>
      </c>
      <c r="H183" s="46" t="s">
        <v>1043</v>
      </c>
      <c r="I183" s="46" t="s">
        <v>1043</v>
      </c>
      <c r="J183" s="46" t="s">
        <v>1043</v>
      </c>
      <c r="K183" s="46" t="s">
        <v>1043</v>
      </c>
      <c r="L183" s="46" t="s">
        <v>1043</v>
      </c>
    </row>
    <row r="184" spans="2:12">
      <c r="B184" s="46" t="s">
        <v>424</v>
      </c>
      <c r="C184" s="46" t="s">
        <v>1043</v>
      </c>
      <c r="D184" s="46" t="s">
        <v>1043</v>
      </c>
      <c r="E184" s="46" t="s">
        <v>1043</v>
      </c>
      <c r="F184" s="46" t="s">
        <v>1043</v>
      </c>
      <c r="G184" s="46" t="s">
        <v>1043</v>
      </c>
      <c r="H184" s="46" t="s">
        <v>1043</v>
      </c>
      <c r="I184" s="46" t="s">
        <v>1043</v>
      </c>
      <c r="J184" s="46" t="s">
        <v>1043</v>
      </c>
      <c r="K184" s="46" t="s">
        <v>1043</v>
      </c>
      <c r="L184" s="46" t="s">
        <v>1043</v>
      </c>
    </row>
    <row r="185" spans="2:12">
      <c r="B185" s="46" t="s">
        <v>423</v>
      </c>
      <c r="C185" s="46" t="s">
        <v>1043</v>
      </c>
      <c r="D185" s="46" t="s">
        <v>1043</v>
      </c>
      <c r="E185" s="46" t="s">
        <v>1043</v>
      </c>
      <c r="F185" s="46" t="s">
        <v>1043</v>
      </c>
      <c r="G185" s="46" t="s">
        <v>1043</v>
      </c>
      <c r="H185" s="46" t="s">
        <v>1043</v>
      </c>
      <c r="I185" s="46" t="s">
        <v>1043</v>
      </c>
      <c r="J185" s="46" t="s">
        <v>1043</v>
      </c>
      <c r="K185" s="46" t="s">
        <v>1043</v>
      </c>
      <c r="L185" s="46" t="s">
        <v>1043</v>
      </c>
    </row>
    <row r="186" spans="2:12">
      <c r="B186" s="46" t="s">
        <v>422</v>
      </c>
      <c r="C186" s="46" t="s">
        <v>1043</v>
      </c>
      <c r="D186" s="46" t="s">
        <v>1043</v>
      </c>
      <c r="E186" s="46" t="s">
        <v>1043</v>
      </c>
      <c r="F186" s="46" t="s">
        <v>1043</v>
      </c>
      <c r="G186" s="46" t="s">
        <v>1043</v>
      </c>
      <c r="H186" s="46" t="s">
        <v>1043</v>
      </c>
      <c r="I186" s="46" t="s">
        <v>1043</v>
      </c>
      <c r="J186" s="46" t="s">
        <v>1043</v>
      </c>
      <c r="K186" s="46" t="s">
        <v>1043</v>
      </c>
      <c r="L186" s="46" t="s">
        <v>1043</v>
      </c>
    </row>
    <row r="187" spans="2:12">
      <c r="B187" s="46" t="s">
        <v>421</v>
      </c>
      <c r="C187" s="46" t="s">
        <v>1043</v>
      </c>
      <c r="D187" s="46" t="s">
        <v>1043</v>
      </c>
      <c r="E187" s="46" t="s">
        <v>1043</v>
      </c>
      <c r="F187" s="46" t="s">
        <v>1043</v>
      </c>
      <c r="G187" s="46" t="s">
        <v>1043</v>
      </c>
      <c r="H187" s="46" t="s">
        <v>1043</v>
      </c>
      <c r="I187" s="46" t="s">
        <v>1043</v>
      </c>
      <c r="J187" s="46" t="s">
        <v>1043</v>
      </c>
      <c r="K187" s="46" t="s">
        <v>1043</v>
      </c>
      <c r="L187" s="46" t="s">
        <v>1043</v>
      </c>
    </row>
    <row r="188" spans="2:12">
      <c r="B188" s="46" t="s">
        <v>420</v>
      </c>
      <c r="C188" s="46" t="s">
        <v>1043</v>
      </c>
      <c r="D188" s="46" t="s">
        <v>1043</v>
      </c>
      <c r="E188" s="46" t="s">
        <v>1043</v>
      </c>
      <c r="F188" s="46" t="s">
        <v>1043</v>
      </c>
      <c r="G188" s="46" t="s">
        <v>1043</v>
      </c>
      <c r="H188" s="46" t="s">
        <v>1043</v>
      </c>
      <c r="I188" s="46" t="s">
        <v>1043</v>
      </c>
      <c r="J188" s="46" t="s">
        <v>1043</v>
      </c>
      <c r="K188" s="46" t="s">
        <v>1043</v>
      </c>
      <c r="L188" s="46" t="s">
        <v>1043</v>
      </c>
    </row>
    <row r="189" spans="2:12">
      <c r="B189" s="46" t="s">
        <v>419</v>
      </c>
      <c r="C189" s="46" t="s">
        <v>1043</v>
      </c>
      <c r="D189" s="46" t="s">
        <v>1043</v>
      </c>
      <c r="E189" s="46" t="s">
        <v>1043</v>
      </c>
      <c r="F189" s="46" t="s">
        <v>1043</v>
      </c>
      <c r="G189" s="46" t="s">
        <v>1043</v>
      </c>
      <c r="H189" s="46" t="s">
        <v>1043</v>
      </c>
      <c r="I189" s="46" t="s">
        <v>1043</v>
      </c>
      <c r="J189" s="46" t="s">
        <v>1043</v>
      </c>
      <c r="K189" s="46" t="s">
        <v>1043</v>
      </c>
      <c r="L189" s="46" t="s">
        <v>1043</v>
      </c>
    </row>
    <row r="190" spans="2:12">
      <c r="B190" s="46" t="s">
        <v>418</v>
      </c>
      <c r="C190" s="46" t="s">
        <v>1043</v>
      </c>
      <c r="D190" s="46" t="s">
        <v>1043</v>
      </c>
      <c r="E190" s="46" t="s">
        <v>1043</v>
      </c>
      <c r="F190" s="46" t="s">
        <v>1043</v>
      </c>
      <c r="G190" s="46" t="s">
        <v>1043</v>
      </c>
      <c r="H190" s="46" t="s">
        <v>1043</v>
      </c>
      <c r="I190" s="46" t="s">
        <v>1043</v>
      </c>
      <c r="J190" s="46" t="s">
        <v>1043</v>
      </c>
      <c r="K190" s="46" t="s">
        <v>1043</v>
      </c>
      <c r="L190" s="46" t="s">
        <v>1043</v>
      </c>
    </row>
    <row r="191" spans="2:12">
      <c r="B191" s="46" t="s">
        <v>417</v>
      </c>
      <c r="C191" s="46" t="s">
        <v>1043</v>
      </c>
      <c r="D191" s="46" t="s">
        <v>1043</v>
      </c>
      <c r="E191" s="46" t="s">
        <v>1043</v>
      </c>
      <c r="F191" s="46" t="s">
        <v>1043</v>
      </c>
      <c r="G191" s="46" t="s">
        <v>1043</v>
      </c>
      <c r="H191" s="46" t="s">
        <v>1043</v>
      </c>
      <c r="I191" s="46" t="s">
        <v>1043</v>
      </c>
      <c r="J191" s="46" t="s">
        <v>1043</v>
      </c>
      <c r="K191" s="46" t="s">
        <v>1043</v>
      </c>
      <c r="L191" s="46" t="s">
        <v>1043</v>
      </c>
    </row>
    <row r="192" spans="2:12">
      <c r="B192" s="46" t="s">
        <v>416</v>
      </c>
      <c r="C192" s="46" t="s">
        <v>1043</v>
      </c>
      <c r="D192" s="46" t="s">
        <v>1043</v>
      </c>
      <c r="E192" s="46" t="s">
        <v>1043</v>
      </c>
      <c r="F192" s="46" t="s">
        <v>1043</v>
      </c>
      <c r="G192" s="46" t="s">
        <v>1043</v>
      </c>
      <c r="H192" s="46" t="s">
        <v>1043</v>
      </c>
      <c r="I192" s="46" t="s">
        <v>1043</v>
      </c>
      <c r="J192" s="46" t="s">
        <v>1043</v>
      </c>
      <c r="K192" s="46" t="s">
        <v>1043</v>
      </c>
      <c r="L192" s="46" t="s">
        <v>1043</v>
      </c>
    </row>
    <row r="193" spans="2:12">
      <c r="B193" s="46" t="s">
        <v>415</v>
      </c>
      <c r="C193" s="46" t="s">
        <v>1043</v>
      </c>
      <c r="D193" s="46" t="s">
        <v>1043</v>
      </c>
      <c r="E193" s="46" t="s">
        <v>1043</v>
      </c>
      <c r="F193" s="46" t="s">
        <v>1043</v>
      </c>
      <c r="G193" s="46" t="s">
        <v>1043</v>
      </c>
      <c r="H193" s="46" t="s">
        <v>1043</v>
      </c>
      <c r="I193" s="46" t="s">
        <v>1043</v>
      </c>
      <c r="J193" s="46" t="s">
        <v>1043</v>
      </c>
      <c r="K193" s="46" t="s">
        <v>1043</v>
      </c>
      <c r="L193" s="46" t="s">
        <v>1043</v>
      </c>
    </row>
    <row r="194" spans="2:12">
      <c r="B194" s="46" t="s">
        <v>414</v>
      </c>
      <c r="C194" s="46" t="s">
        <v>1043</v>
      </c>
      <c r="D194" s="46" t="s">
        <v>1043</v>
      </c>
      <c r="E194" s="46" t="s">
        <v>1043</v>
      </c>
      <c r="F194" s="46" t="s">
        <v>1043</v>
      </c>
      <c r="G194" s="46" t="s">
        <v>1043</v>
      </c>
      <c r="H194" s="46" t="s">
        <v>1043</v>
      </c>
      <c r="I194" s="46" t="s">
        <v>1043</v>
      </c>
      <c r="J194" s="46" t="s">
        <v>1043</v>
      </c>
      <c r="K194" s="46" t="s">
        <v>1043</v>
      </c>
      <c r="L194" s="46" t="s">
        <v>1043</v>
      </c>
    </row>
    <row r="195" spans="2:12">
      <c r="B195" s="46" t="s">
        <v>413</v>
      </c>
      <c r="C195" s="46" t="s">
        <v>1043</v>
      </c>
      <c r="D195" s="46" t="s">
        <v>1043</v>
      </c>
      <c r="E195" s="46" t="s">
        <v>1043</v>
      </c>
      <c r="F195" s="46" t="s">
        <v>1043</v>
      </c>
      <c r="G195" s="46" t="s">
        <v>1043</v>
      </c>
      <c r="H195" s="46" t="s">
        <v>1043</v>
      </c>
      <c r="I195" s="46" t="s">
        <v>1043</v>
      </c>
      <c r="J195" s="46" t="s">
        <v>1043</v>
      </c>
      <c r="K195" s="46" t="s">
        <v>1043</v>
      </c>
      <c r="L195" s="46" t="s">
        <v>1043</v>
      </c>
    </row>
    <row r="196" spans="2:12">
      <c r="B196" s="46" t="s">
        <v>412</v>
      </c>
      <c r="C196" s="46" t="s">
        <v>1043</v>
      </c>
      <c r="D196" s="46" t="s">
        <v>1043</v>
      </c>
      <c r="E196" s="46" t="s">
        <v>1043</v>
      </c>
      <c r="F196" s="46" t="s">
        <v>1043</v>
      </c>
      <c r="G196" s="46" t="s">
        <v>1043</v>
      </c>
      <c r="H196" s="46" t="s">
        <v>1043</v>
      </c>
      <c r="I196" s="46" t="s">
        <v>1043</v>
      </c>
      <c r="J196" s="46" t="s">
        <v>1043</v>
      </c>
      <c r="K196" s="46" t="s">
        <v>1043</v>
      </c>
      <c r="L196" s="46" t="s">
        <v>1043</v>
      </c>
    </row>
    <row r="197" spans="2:12">
      <c r="B197" s="46" t="s">
        <v>411</v>
      </c>
      <c r="C197" s="46" t="s">
        <v>1043</v>
      </c>
      <c r="D197" s="46" t="s">
        <v>1043</v>
      </c>
      <c r="E197" s="46" t="s">
        <v>1043</v>
      </c>
      <c r="F197" s="46" t="s">
        <v>1043</v>
      </c>
      <c r="G197" s="46" t="s">
        <v>1043</v>
      </c>
      <c r="H197" s="46" t="s">
        <v>1043</v>
      </c>
      <c r="I197" s="46" t="s">
        <v>1043</v>
      </c>
      <c r="J197" s="46" t="s">
        <v>1043</v>
      </c>
      <c r="K197" s="46" t="s">
        <v>1043</v>
      </c>
      <c r="L197" s="46" t="s">
        <v>1043</v>
      </c>
    </row>
    <row r="198" spans="2:12">
      <c r="B198" s="46" t="s">
        <v>410</v>
      </c>
      <c r="C198" s="46" t="s">
        <v>1043</v>
      </c>
      <c r="D198" s="46" t="s">
        <v>1043</v>
      </c>
      <c r="E198" s="46" t="s">
        <v>1043</v>
      </c>
      <c r="F198" s="46" t="s">
        <v>1043</v>
      </c>
      <c r="G198" s="46" t="s">
        <v>1043</v>
      </c>
      <c r="H198" s="46" t="s">
        <v>1043</v>
      </c>
      <c r="I198" s="46" t="s">
        <v>1043</v>
      </c>
      <c r="J198" s="46" t="s">
        <v>1043</v>
      </c>
      <c r="K198" s="46" t="s">
        <v>1043</v>
      </c>
      <c r="L198" s="46" t="s">
        <v>1043</v>
      </c>
    </row>
    <row r="199" spans="2:12">
      <c r="B199" s="46" t="s">
        <v>409</v>
      </c>
      <c r="C199" s="46" t="s">
        <v>1043</v>
      </c>
      <c r="D199" s="46" t="s">
        <v>1043</v>
      </c>
      <c r="E199" s="46" t="s">
        <v>1043</v>
      </c>
      <c r="F199" s="46" t="s">
        <v>1043</v>
      </c>
      <c r="G199" s="46" t="s">
        <v>1043</v>
      </c>
      <c r="H199" s="46" t="s">
        <v>1043</v>
      </c>
      <c r="I199" s="46" t="s">
        <v>1043</v>
      </c>
      <c r="J199" s="46" t="s">
        <v>1043</v>
      </c>
      <c r="K199" s="46" t="s">
        <v>1043</v>
      </c>
      <c r="L199" s="46" t="s">
        <v>1043</v>
      </c>
    </row>
    <row r="200" spans="2:12">
      <c r="B200" s="46" t="s">
        <v>408</v>
      </c>
      <c r="C200" s="46" t="s">
        <v>1043</v>
      </c>
      <c r="D200" s="46" t="s">
        <v>1043</v>
      </c>
      <c r="E200" s="46" t="s">
        <v>1043</v>
      </c>
      <c r="F200" s="46" t="s">
        <v>1043</v>
      </c>
      <c r="G200" s="46" t="s">
        <v>1043</v>
      </c>
      <c r="H200" s="46" t="s">
        <v>1043</v>
      </c>
      <c r="I200" s="46" t="s">
        <v>1043</v>
      </c>
      <c r="J200" s="46" t="s">
        <v>1043</v>
      </c>
      <c r="K200" s="46" t="s">
        <v>1043</v>
      </c>
      <c r="L200" s="46" t="s">
        <v>1043</v>
      </c>
    </row>
    <row r="201" spans="2:12">
      <c r="B201" s="46" t="s">
        <v>407</v>
      </c>
      <c r="C201" s="46" t="s">
        <v>1043</v>
      </c>
      <c r="D201" s="46" t="s">
        <v>1043</v>
      </c>
      <c r="E201" s="46" t="s">
        <v>1043</v>
      </c>
      <c r="F201" s="46" t="s">
        <v>1043</v>
      </c>
      <c r="G201" s="46" t="s">
        <v>1043</v>
      </c>
      <c r="H201" s="46" t="s">
        <v>1043</v>
      </c>
      <c r="I201" s="46" t="s">
        <v>1043</v>
      </c>
      <c r="J201" s="46" t="s">
        <v>1043</v>
      </c>
      <c r="K201" s="46" t="s">
        <v>1043</v>
      </c>
      <c r="L201" s="46" t="s">
        <v>1043</v>
      </c>
    </row>
    <row r="202" spans="2:12">
      <c r="B202" s="46" t="s">
        <v>406</v>
      </c>
      <c r="C202" s="46" t="s">
        <v>1043</v>
      </c>
      <c r="D202" s="46" t="s">
        <v>1043</v>
      </c>
      <c r="E202" s="46" t="s">
        <v>1043</v>
      </c>
      <c r="F202" s="46" t="s">
        <v>1043</v>
      </c>
      <c r="G202" s="46" t="s">
        <v>1043</v>
      </c>
      <c r="H202" s="46" t="s">
        <v>1043</v>
      </c>
      <c r="I202" s="46" t="s">
        <v>1043</v>
      </c>
      <c r="J202" s="46" t="s">
        <v>1043</v>
      </c>
      <c r="K202" s="46" t="s">
        <v>1043</v>
      </c>
      <c r="L202" s="46" t="s">
        <v>1043</v>
      </c>
    </row>
    <row r="203" spans="2:12">
      <c r="B203" s="46" t="s">
        <v>405</v>
      </c>
      <c r="C203" s="46" t="s">
        <v>1043</v>
      </c>
      <c r="D203" s="46" t="s">
        <v>1043</v>
      </c>
      <c r="E203" s="46" t="s">
        <v>1043</v>
      </c>
      <c r="F203" s="46" t="s">
        <v>1043</v>
      </c>
      <c r="G203" s="46" t="s">
        <v>1043</v>
      </c>
      <c r="H203" s="46" t="s">
        <v>1043</v>
      </c>
      <c r="I203" s="46" t="s">
        <v>1043</v>
      </c>
      <c r="J203" s="46" t="s">
        <v>1043</v>
      </c>
      <c r="K203" s="46" t="s">
        <v>1043</v>
      </c>
      <c r="L203" s="46" t="s">
        <v>1043</v>
      </c>
    </row>
    <row r="204" spans="2:12">
      <c r="B204" s="46" t="s">
        <v>404</v>
      </c>
      <c r="C204" s="46" t="s">
        <v>1043</v>
      </c>
      <c r="D204" s="46" t="s">
        <v>1043</v>
      </c>
      <c r="E204" s="46" t="s">
        <v>1043</v>
      </c>
      <c r="F204" s="46" t="s">
        <v>1043</v>
      </c>
      <c r="G204" s="46" t="s">
        <v>1043</v>
      </c>
      <c r="H204" s="46" t="s">
        <v>1043</v>
      </c>
      <c r="I204" s="46" t="s">
        <v>1043</v>
      </c>
      <c r="J204" s="46" t="s">
        <v>1043</v>
      </c>
      <c r="K204" s="46" t="s">
        <v>1043</v>
      </c>
      <c r="L204" s="46" t="s">
        <v>1043</v>
      </c>
    </row>
    <row r="205" spans="2:12">
      <c r="B205" s="46" t="s">
        <v>403</v>
      </c>
      <c r="C205" s="46" t="s">
        <v>1043</v>
      </c>
      <c r="D205" s="46" t="s">
        <v>1043</v>
      </c>
      <c r="E205" s="46" t="s">
        <v>1043</v>
      </c>
      <c r="F205" s="46" t="s">
        <v>1043</v>
      </c>
      <c r="G205" s="46" t="s">
        <v>1043</v>
      </c>
      <c r="H205" s="46" t="s">
        <v>1043</v>
      </c>
      <c r="I205" s="46" t="s">
        <v>1043</v>
      </c>
      <c r="J205" s="46" t="s">
        <v>1043</v>
      </c>
      <c r="K205" s="46" t="s">
        <v>1043</v>
      </c>
      <c r="L205" s="46" t="s">
        <v>1043</v>
      </c>
    </row>
    <row r="206" spans="2:12">
      <c r="B206" s="46" t="s">
        <v>402</v>
      </c>
      <c r="C206" s="46" t="s">
        <v>1043</v>
      </c>
      <c r="D206" s="46" t="s">
        <v>1043</v>
      </c>
      <c r="E206" s="46" t="s">
        <v>1043</v>
      </c>
      <c r="F206" s="46" t="s">
        <v>1043</v>
      </c>
      <c r="G206" s="46" t="s">
        <v>1043</v>
      </c>
      <c r="H206" s="46" t="s">
        <v>1043</v>
      </c>
      <c r="I206" s="46" t="s">
        <v>1043</v>
      </c>
      <c r="J206" s="46" t="s">
        <v>1043</v>
      </c>
      <c r="K206" s="46" t="s">
        <v>1043</v>
      </c>
      <c r="L206" s="46" t="s">
        <v>1043</v>
      </c>
    </row>
    <row r="207" spans="2:12">
      <c r="B207" s="46" t="s">
        <v>401</v>
      </c>
      <c r="C207" s="46" t="s">
        <v>1043</v>
      </c>
      <c r="D207" s="46" t="s">
        <v>1043</v>
      </c>
      <c r="E207" s="46" t="s">
        <v>1043</v>
      </c>
      <c r="F207" s="46" t="s">
        <v>1043</v>
      </c>
      <c r="G207" s="46" t="s">
        <v>1043</v>
      </c>
      <c r="H207" s="46" t="s">
        <v>1043</v>
      </c>
      <c r="I207" s="46" t="s">
        <v>1043</v>
      </c>
      <c r="J207" s="46" t="s">
        <v>1043</v>
      </c>
      <c r="K207" s="46" t="s">
        <v>1043</v>
      </c>
      <c r="L207" s="46" t="s">
        <v>1043</v>
      </c>
    </row>
    <row r="208" spans="2:12">
      <c r="B208" s="46" t="s">
        <v>400</v>
      </c>
      <c r="C208" s="46" t="s">
        <v>1043</v>
      </c>
      <c r="D208" s="46" t="s">
        <v>1043</v>
      </c>
      <c r="E208" s="46" t="s">
        <v>1043</v>
      </c>
      <c r="F208" s="46" t="s">
        <v>1043</v>
      </c>
      <c r="G208" s="46" t="s">
        <v>1043</v>
      </c>
      <c r="H208" s="46" t="s">
        <v>1043</v>
      </c>
      <c r="I208" s="46" t="s">
        <v>1043</v>
      </c>
      <c r="J208" s="46" t="s">
        <v>1043</v>
      </c>
      <c r="K208" s="46" t="s">
        <v>1043</v>
      </c>
      <c r="L208" s="46" t="s">
        <v>1043</v>
      </c>
    </row>
    <row r="209" spans="2:12">
      <c r="B209" s="46" t="s">
        <v>399</v>
      </c>
      <c r="C209" s="46" t="s">
        <v>1043</v>
      </c>
      <c r="D209" s="46" t="s">
        <v>1043</v>
      </c>
      <c r="E209" s="46" t="s">
        <v>1043</v>
      </c>
      <c r="F209" s="46" t="s">
        <v>1043</v>
      </c>
      <c r="G209" s="46" t="s">
        <v>1043</v>
      </c>
      <c r="H209" s="46" t="s">
        <v>1043</v>
      </c>
      <c r="I209" s="46" t="s">
        <v>1043</v>
      </c>
      <c r="J209" s="46" t="s">
        <v>1043</v>
      </c>
      <c r="K209" s="46" t="s">
        <v>1043</v>
      </c>
      <c r="L209" s="46" t="s">
        <v>1043</v>
      </c>
    </row>
    <row r="210" spans="2:12">
      <c r="B210" s="46" t="s">
        <v>398</v>
      </c>
      <c r="C210" s="46" t="s">
        <v>1043</v>
      </c>
      <c r="D210" s="46" t="s">
        <v>1043</v>
      </c>
      <c r="E210" s="46" t="s">
        <v>1043</v>
      </c>
      <c r="F210" s="46" t="s">
        <v>1043</v>
      </c>
      <c r="G210" s="46" t="s">
        <v>1043</v>
      </c>
      <c r="H210" s="46" t="s">
        <v>1043</v>
      </c>
      <c r="I210" s="46" t="s">
        <v>1043</v>
      </c>
      <c r="J210" s="46" t="s">
        <v>1043</v>
      </c>
      <c r="K210" s="46" t="s">
        <v>1043</v>
      </c>
      <c r="L210" s="46" t="s">
        <v>1043</v>
      </c>
    </row>
    <row r="211" spans="2:12">
      <c r="B211" s="46" t="s">
        <v>397</v>
      </c>
      <c r="C211" s="46" t="s">
        <v>1043</v>
      </c>
      <c r="D211" s="46" t="s">
        <v>1043</v>
      </c>
      <c r="E211" s="46" t="s">
        <v>1043</v>
      </c>
      <c r="F211" s="46" t="s">
        <v>1043</v>
      </c>
      <c r="G211" s="46" t="s">
        <v>1043</v>
      </c>
      <c r="H211" s="46" t="s">
        <v>1043</v>
      </c>
      <c r="I211" s="46" t="s">
        <v>1043</v>
      </c>
      <c r="J211" s="46" t="s">
        <v>1043</v>
      </c>
      <c r="K211" s="46" t="s">
        <v>1043</v>
      </c>
      <c r="L211" s="46" t="s">
        <v>1043</v>
      </c>
    </row>
    <row r="212" spans="2:12">
      <c r="B212" s="46" t="s">
        <v>396</v>
      </c>
      <c r="C212" s="46" t="s">
        <v>1043</v>
      </c>
      <c r="D212" s="46" t="s">
        <v>1043</v>
      </c>
      <c r="E212" s="46" t="s">
        <v>1043</v>
      </c>
      <c r="F212" s="46" t="s">
        <v>1043</v>
      </c>
      <c r="G212" s="46" t="s">
        <v>1043</v>
      </c>
      <c r="H212" s="46" t="s">
        <v>1043</v>
      </c>
      <c r="I212" s="46" t="s">
        <v>1043</v>
      </c>
      <c r="J212" s="46" t="s">
        <v>1043</v>
      </c>
      <c r="K212" s="46" t="s">
        <v>1043</v>
      </c>
      <c r="L212" s="46" t="s">
        <v>1043</v>
      </c>
    </row>
    <row r="213" spans="2:12">
      <c r="B213" s="46" t="s">
        <v>395</v>
      </c>
      <c r="C213" s="46" t="s">
        <v>1043</v>
      </c>
      <c r="D213" s="46" t="s">
        <v>1043</v>
      </c>
      <c r="E213" s="46" t="s">
        <v>1043</v>
      </c>
      <c r="F213" s="46" t="s">
        <v>1043</v>
      </c>
      <c r="G213" s="46" t="s">
        <v>1043</v>
      </c>
      <c r="H213" s="46" t="s">
        <v>1043</v>
      </c>
      <c r="I213" s="46" t="s">
        <v>1043</v>
      </c>
      <c r="J213" s="46" t="s">
        <v>1043</v>
      </c>
      <c r="K213" s="46" t="s">
        <v>1043</v>
      </c>
      <c r="L213" s="46" t="s">
        <v>1043</v>
      </c>
    </row>
    <row r="214" spans="2:12">
      <c r="B214" s="46" t="s">
        <v>394</v>
      </c>
      <c r="C214" s="46" t="s">
        <v>1043</v>
      </c>
      <c r="D214" s="46" t="s">
        <v>1043</v>
      </c>
      <c r="E214" s="46" t="s">
        <v>1043</v>
      </c>
      <c r="F214" s="46" t="s">
        <v>1043</v>
      </c>
      <c r="G214" s="46" t="s">
        <v>1043</v>
      </c>
      <c r="H214" s="46" t="s">
        <v>1043</v>
      </c>
      <c r="I214" s="46" t="s">
        <v>1043</v>
      </c>
      <c r="J214" s="46" t="s">
        <v>1043</v>
      </c>
      <c r="K214" s="46" t="s">
        <v>1043</v>
      </c>
      <c r="L214" s="46" t="s">
        <v>1043</v>
      </c>
    </row>
    <row r="215" spans="2:12">
      <c r="B215" s="46" t="s">
        <v>393</v>
      </c>
      <c r="C215" s="46" t="s">
        <v>1043</v>
      </c>
      <c r="D215" s="46" t="s">
        <v>1043</v>
      </c>
      <c r="E215" s="46" t="s">
        <v>1043</v>
      </c>
      <c r="F215" s="46" t="s">
        <v>1043</v>
      </c>
      <c r="G215" s="46" t="s">
        <v>1043</v>
      </c>
      <c r="H215" s="46" t="s">
        <v>1043</v>
      </c>
      <c r="I215" s="46" t="s">
        <v>1043</v>
      </c>
      <c r="J215" s="46" t="s">
        <v>1043</v>
      </c>
      <c r="K215" s="46" t="s">
        <v>1043</v>
      </c>
      <c r="L215" s="46" t="s">
        <v>1043</v>
      </c>
    </row>
    <row r="216" spans="2:12">
      <c r="B216" s="46" t="s">
        <v>392</v>
      </c>
      <c r="C216" s="46" t="s">
        <v>1043</v>
      </c>
      <c r="D216" s="46" t="s">
        <v>1043</v>
      </c>
      <c r="E216" s="46" t="s">
        <v>1043</v>
      </c>
      <c r="F216" s="46" t="s">
        <v>1043</v>
      </c>
      <c r="G216" s="46" t="s">
        <v>1043</v>
      </c>
      <c r="H216" s="46" t="s">
        <v>1043</v>
      </c>
      <c r="I216" s="46" t="s">
        <v>1043</v>
      </c>
      <c r="J216" s="46" t="s">
        <v>1043</v>
      </c>
      <c r="K216" s="46" t="s">
        <v>1043</v>
      </c>
      <c r="L216" s="46" t="s">
        <v>1043</v>
      </c>
    </row>
    <row r="217" spans="2:12">
      <c r="B217" s="46" t="s">
        <v>391</v>
      </c>
      <c r="C217" s="46" t="s">
        <v>1043</v>
      </c>
      <c r="D217" s="46" t="s">
        <v>1043</v>
      </c>
      <c r="E217" s="46" t="s">
        <v>1043</v>
      </c>
      <c r="F217" s="46" t="s">
        <v>1043</v>
      </c>
      <c r="G217" s="46" t="s">
        <v>1043</v>
      </c>
      <c r="H217" s="46" t="s">
        <v>1043</v>
      </c>
      <c r="I217" s="46" t="s">
        <v>1043</v>
      </c>
      <c r="J217" s="46" t="s">
        <v>1043</v>
      </c>
      <c r="K217" s="46" t="s">
        <v>1043</v>
      </c>
      <c r="L217" s="46" t="s">
        <v>1043</v>
      </c>
    </row>
    <row r="218" spans="2:12">
      <c r="B218" s="46" t="s">
        <v>390</v>
      </c>
      <c r="C218" s="46" t="s">
        <v>1043</v>
      </c>
      <c r="D218" s="46" t="s">
        <v>1043</v>
      </c>
      <c r="E218" s="46" t="s">
        <v>1043</v>
      </c>
      <c r="F218" s="46" t="s">
        <v>1043</v>
      </c>
      <c r="G218" s="46" t="s">
        <v>1043</v>
      </c>
      <c r="H218" s="46" t="s">
        <v>1043</v>
      </c>
      <c r="I218" s="46" t="s">
        <v>1043</v>
      </c>
      <c r="J218" s="46" t="s">
        <v>1043</v>
      </c>
      <c r="K218" s="46" t="s">
        <v>1043</v>
      </c>
      <c r="L218" s="46" t="s">
        <v>1043</v>
      </c>
    </row>
    <row r="219" spans="2:12">
      <c r="B219" s="46" t="s">
        <v>389</v>
      </c>
      <c r="C219" s="46" t="s">
        <v>1043</v>
      </c>
      <c r="D219" s="46" t="s">
        <v>1043</v>
      </c>
      <c r="E219" s="46" t="s">
        <v>1043</v>
      </c>
      <c r="F219" s="46" t="s">
        <v>1043</v>
      </c>
      <c r="G219" s="46" t="s">
        <v>1043</v>
      </c>
      <c r="H219" s="46" t="s">
        <v>1043</v>
      </c>
      <c r="I219" s="46" t="s">
        <v>1043</v>
      </c>
      <c r="J219" s="46" t="s">
        <v>1043</v>
      </c>
      <c r="K219" s="46" t="s">
        <v>1043</v>
      </c>
      <c r="L219" s="46" t="s">
        <v>1043</v>
      </c>
    </row>
    <row r="220" spans="2:12">
      <c r="B220" s="46" t="s">
        <v>388</v>
      </c>
      <c r="C220" s="46" t="s">
        <v>1043</v>
      </c>
      <c r="D220" s="46" t="s">
        <v>1043</v>
      </c>
      <c r="E220" s="46" t="s">
        <v>1043</v>
      </c>
      <c r="F220" s="46" t="s">
        <v>1043</v>
      </c>
      <c r="G220" s="46" t="s">
        <v>1043</v>
      </c>
      <c r="H220" s="46" t="s">
        <v>1043</v>
      </c>
      <c r="I220" s="46" t="s">
        <v>1043</v>
      </c>
      <c r="J220" s="46" t="s">
        <v>1043</v>
      </c>
      <c r="K220" s="46" t="s">
        <v>1043</v>
      </c>
      <c r="L220" s="46" t="s">
        <v>1043</v>
      </c>
    </row>
    <row r="221" spans="2:12">
      <c r="B221" s="46" t="s">
        <v>387</v>
      </c>
      <c r="C221" s="46" t="s">
        <v>1043</v>
      </c>
      <c r="D221" s="46" t="s">
        <v>1043</v>
      </c>
      <c r="E221" s="46" t="s">
        <v>1043</v>
      </c>
      <c r="F221" s="46" t="s">
        <v>1043</v>
      </c>
      <c r="G221" s="46" t="s">
        <v>1043</v>
      </c>
      <c r="H221" s="46" t="s">
        <v>1043</v>
      </c>
      <c r="I221" s="46" t="s">
        <v>1043</v>
      </c>
      <c r="J221" s="46" t="s">
        <v>1043</v>
      </c>
      <c r="K221" s="46" t="s">
        <v>1043</v>
      </c>
      <c r="L221" s="46" t="s">
        <v>1043</v>
      </c>
    </row>
    <row r="222" spans="2:12">
      <c r="B222" s="46" t="s">
        <v>386</v>
      </c>
      <c r="C222" s="46" t="s">
        <v>1043</v>
      </c>
      <c r="D222" s="46" t="s">
        <v>1043</v>
      </c>
      <c r="E222" s="46" t="s">
        <v>1043</v>
      </c>
      <c r="F222" s="46" t="s">
        <v>1043</v>
      </c>
      <c r="G222" s="46" t="s">
        <v>1043</v>
      </c>
      <c r="H222" s="46" t="s">
        <v>1043</v>
      </c>
      <c r="I222" s="46" t="s">
        <v>1043</v>
      </c>
      <c r="J222" s="46" t="s">
        <v>1043</v>
      </c>
      <c r="K222" s="46" t="s">
        <v>1043</v>
      </c>
      <c r="L222" s="46" t="s">
        <v>1043</v>
      </c>
    </row>
    <row r="223" spans="2:12">
      <c r="B223" s="46" t="s">
        <v>385</v>
      </c>
      <c r="C223" s="46" t="s">
        <v>1043</v>
      </c>
      <c r="D223" s="46" t="s">
        <v>1043</v>
      </c>
      <c r="E223" s="46" t="s">
        <v>1043</v>
      </c>
      <c r="F223" s="46" t="s">
        <v>1043</v>
      </c>
      <c r="G223" s="46" t="s">
        <v>1043</v>
      </c>
      <c r="H223" s="46" t="s">
        <v>1043</v>
      </c>
      <c r="I223" s="46" t="s">
        <v>1043</v>
      </c>
      <c r="J223" s="46" t="s">
        <v>1043</v>
      </c>
      <c r="K223" s="46" t="s">
        <v>1043</v>
      </c>
      <c r="L223" s="46" t="s">
        <v>1043</v>
      </c>
    </row>
    <row r="224" spans="2:12">
      <c r="B224" s="46" t="s">
        <v>384</v>
      </c>
      <c r="C224" s="46" t="s">
        <v>1043</v>
      </c>
      <c r="D224" s="46" t="s">
        <v>1043</v>
      </c>
      <c r="E224" s="46" t="s">
        <v>1043</v>
      </c>
      <c r="F224" s="46" t="s">
        <v>1043</v>
      </c>
      <c r="G224" s="46" t="s">
        <v>1043</v>
      </c>
      <c r="H224" s="46" t="s">
        <v>1043</v>
      </c>
      <c r="I224" s="46" t="s">
        <v>1043</v>
      </c>
      <c r="J224" s="46" t="s">
        <v>1043</v>
      </c>
      <c r="K224" s="46" t="s">
        <v>1043</v>
      </c>
      <c r="L224" s="46" t="s">
        <v>1043</v>
      </c>
    </row>
    <row r="225" spans="2:12">
      <c r="B225" s="46" t="s">
        <v>383</v>
      </c>
      <c r="C225" s="46" t="s">
        <v>1043</v>
      </c>
      <c r="D225" s="46" t="s">
        <v>1043</v>
      </c>
      <c r="E225" s="46" t="s">
        <v>1043</v>
      </c>
      <c r="F225" s="46" t="s">
        <v>1043</v>
      </c>
      <c r="G225" s="46" t="s">
        <v>1043</v>
      </c>
      <c r="H225" s="46" t="s">
        <v>1043</v>
      </c>
      <c r="I225" s="46" t="s">
        <v>1043</v>
      </c>
      <c r="J225" s="46" t="s">
        <v>1043</v>
      </c>
      <c r="K225" s="46" t="s">
        <v>1043</v>
      </c>
      <c r="L225" s="46" t="s">
        <v>1043</v>
      </c>
    </row>
    <row r="226" spans="2:12">
      <c r="B226" s="46" t="s">
        <v>382</v>
      </c>
      <c r="C226" s="46" t="s">
        <v>1043</v>
      </c>
      <c r="D226" s="46" t="s">
        <v>1043</v>
      </c>
      <c r="E226" s="46" t="s">
        <v>1043</v>
      </c>
      <c r="F226" s="46" t="s">
        <v>1043</v>
      </c>
      <c r="G226" s="46" t="s">
        <v>1043</v>
      </c>
      <c r="H226" s="46" t="s">
        <v>1043</v>
      </c>
      <c r="I226" s="46" t="s">
        <v>1043</v>
      </c>
      <c r="J226" s="46" t="s">
        <v>1043</v>
      </c>
      <c r="K226" s="46" t="s">
        <v>1043</v>
      </c>
      <c r="L226" s="46" t="s">
        <v>1043</v>
      </c>
    </row>
    <row r="227" spans="2:12">
      <c r="B227" s="46" t="s">
        <v>381</v>
      </c>
      <c r="C227" s="46" t="s">
        <v>1043</v>
      </c>
      <c r="D227" s="46" t="s">
        <v>1043</v>
      </c>
      <c r="E227" s="46" t="s">
        <v>1043</v>
      </c>
      <c r="F227" s="46" t="s">
        <v>1043</v>
      </c>
      <c r="G227" s="46" t="s">
        <v>1043</v>
      </c>
      <c r="H227" s="46" t="s">
        <v>1043</v>
      </c>
      <c r="I227" s="46" t="s">
        <v>1043</v>
      </c>
      <c r="J227" s="46" t="s">
        <v>1043</v>
      </c>
      <c r="K227" s="46" t="s">
        <v>1043</v>
      </c>
      <c r="L227" s="46" t="s">
        <v>1043</v>
      </c>
    </row>
    <row r="228" spans="2:12">
      <c r="B228" s="46" t="s">
        <v>380</v>
      </c>
      <c r="C228" s="46" t="s">
        <v>1043</v>
      </c>
      <c r="D228" s="46" t="s">
        <v>1043</v>
      </c>
      <c r="E228" s="46" t="s">
        <v>1043</v>
      </c>
      <c r="F228" s="46" t="s">
        <v>1043</v>
      </c>
      <c r="G228" s="46" t="s">
        <v>1043</v>
      </c>
      <c r="H228" s="46" t="s">
        <v>1043</v>
      </c>
      <c r="I228" s="46" t="s">
        <v>1043</v>
      </c>
      <c r="J228" s="46" t="s">
        <v>1043</v>
      </c>
      <c r="K228" s="46" t="s">
        <v>1043</v>
      </c>
      <c r="L228" s="46" t="s">
        <v>1043</v>
      </c>
    </row>
    <row r="229" spans="2:12">
      <c r="B229" s="46" t="s">
        <v>379</v>
      </c>
      <c r="C229" s="46" t="s">
        <v>1043</v>
      </c>
      <c r="D229" s="46" t="s">
        <v>1043</v>
      </c>
      <c r="E229" s="46" t="s">
        <v>1043</v>
      </c>
      <c r="F229" s="46" t="s">
        <v>1043</v>
      </c>
      <c r="G229" s="46" t="s">
        <v>1043</v>
      </c>
      <c r="H229" s="46" t="s">
        <v>1043</v>
      </c>
      <c r="I229" s="46" t="s">
        <v>1043</v>
      </c>
      <c r="J229" s="46" t="s">
        <v>1043</v>
      </c>
      <c r="K229" s="46" t="s">
        <v>1043</v>
      </c>
      <c r="L229" s="46" t="s">
        <v>1043</v>
      </c>
    </row>
    <row r="230" spans="2:12">
      <c r="B230" s="46" t="s">
        <v>378</v>
      </c>
      <c r="C230" s="46" t="s">
        <v>1043</v>
      </c>
      <c r="D230" s="46" t="s">
        <v>1043</v>
      </c>
      <c r="E230" s="46" t="s">
        <v>1043</v>
      </c>
      <c r="F230" s="46" t="s">
        <v>1043</v>
      </c>
      <c r="G230" s="46" t="s">
        <v>1043</v>
      </c>
      <c r="H230" s="46" t="s">
        <v>1043</v>
      </c>
      <c r="I230" s="46" t="s">
        <v>1043</v>
      </c>
      <c r="J230" s="46" t="s">
        <v>1043</v>
      </c>
      <c r="K230" s="46" t="s">
        <v>1043</v>
      </c>
      <c r="L230" s="46" t="s">
        <v>1043</v>
      </c>
    </row>
    <row r="231" spans="2:12">
      <c r="B231" s="46" t="s">
        <v>377</v>
      </c>
      <c r="C231" s="46" t="s">
        <v>1043</v>
      </c>
      <c r="D231" s="46" t="s">
        <v>1043</v>
      </c>
      <c r="E231" s="46" t="s">
        <v>1043</v>
      </c>
      <c r="F231" s="46" t="s">
        <v>1043</v>
      </c>
      <c r="G231" s="46" t="s">
        <v>1043</v>
      </c>
      <c r="H231" s="46" t="s">
        <v>1043</v>
      </c>
      <c r="I231" s="46" t="s">
        <v>1043</v>
      </c>
      <c r="J231" s="46" t="s">
        <v>1043</v>
      </c>
      <c r="K231" s="46" t="s">
        <v>1043</v>
      </c>
      <c r="L231" s="46" t="s">
        <v>1043</v>
      </c>
    </row>
    <row r="232" spans="2:12">
      <c r="B232" s="46" t="s">
        <v>376</v>
      </c>
      <c r="C232" s="46" t="s">
        <v>1043</v>
      </c>
      <c r="D232" s="46" t="s">
        <v>1043</v>
      </c>
      <c r="E232" s="46" t="s">
        <v>1043</v>
      </c>
      <c r="F232" s="46" t="s">
        <v>1043</v>
      </c>
      <c r="G232" s="46" t="s">
        <v>1043</v>
      </c>
      <c r="H232" s="46" t="s">
        <v>1043</v>
      </c>
      <c r="I232" s="46" t="s">
        <v>1043</v>
      </c>
      <c r="J232" s="46" t="s">
        <v>1043</v>
      </c>
      <c r="K232" s="46" t="s">
        <v>1043</v>
      </c>
      <c r="L232" s="46" t="s">
        <v>1043</v>
      </c>
    </row>
    <row r="233" spans="2:12">
      <c r="B233" s="46" t="s">
        <v>375</v>
      </c>
      <c r="C233" s="46" t="s">
        <v>1043</v>
      </c>
      <c r="D233" s="46" t="s">
        <v>1043</v>
      </c>
      <c r="E233" s="46" t="s">
        <v>1043</v>
      </c>
      <c r="F233" s="46" t="s">
        <v>1043</v>
      </c>
      <c r="G233" s="46" t="s">
        <v>1043</v>
      </c>
      <c r="H233" s="46" t="s">
        <v>1043</v>
      </c>
      <c r="I233" s="46" t="s">
        <v>1043</v>
      </c>
      <c r="J233" s="46" t="s">
        <v>1043</v>
      </c>
      <c r="K233" s="46" t="s">
        <v>1043</v>
      </c>
      <c r="L233" s="46" t="s">
        <v>1043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6EB1F9-692F-4E09-B7BC-F4821110FF7E}">
  <dimension ref="A1:O464"/>
  <sheetViews>
    <sheetView workbookViewId="0"/>
  </sheetViews>
  <sheetFormatPr baseColWidth="10" defaultColWidth="9.140625" defaultRowHeight="15"/>
  <sheetData>
    <row r="1" spans="1:15">
      <c r="A1" s="46" t="s">
        <v>6153</v>
      </c>
      <c r="B1" s="46" t="s">
        <v>0</v>
      </c>
      <c r="C1" s="46" t="s">
        <v>0</v>
      </c>
      <c r="D1" s="46" t="s">
        <v>0</v>
      </c>
      <c r="E1" s="46" t="s">
        <v>0</v>
      </c>
      <c r="F1" s="46" t="s">
        <v>0</v>
      </c>
      <c r="G1" s="46" t="s">
        <v>0</v>
      </c>
      <c r="H1" s="46" t="s">
        <v>0</v>
      </c>
      <c r="I1" s="46" t="s">
        <v>0</v>
      </c>
      <c r="J1" s="46" t="s">
        <v>0</v>
      </c>
      <c r="K1" s="46" t="s">
        <v>0</v>
      </c>
      <c r="L1" s="46" t="s">
        <v>0</v>
      </c>
      <c r="M1" s="46" t="s">
        <v>0</v>
      </c>
      <c r="N1" s="46" t="s">
        <v>0</v>
      </c>
      <c r="O1" s="46" t="s">
        <v>0</v>
      </c>
    </row>
    <row r="3" spans="1:15">
      <c r="B3" s="46" t="s">
        <v>1</v>
      </c>
    </row>
    <row r="6" spans="1:15">
      <c r="I6" s="46" t="s">
        <v>2</v>
      </c>
    </row>
    <row r="7" spans="1:15">
      <c r="B7" s="46" t="s">
        <v>3</v>
      </c>
      <c r="C7" s="46" t="s">
        <v>4</v>
      </c>
      <c r="D7" s="46" t="s">
        <v>1040</v>
      </c>
      <c r="E7" s="46" t="s">
        <v>5</v>
      </c>
      <c r="G7" s="46" t="s">
        <v>1041</v>
      </c>
      <c r="H7" s="46" t="s">
        <v>6</v>
      </c>
      <c r="I7" s="46" t="s">
        <v>7</v>
      </c>
      <c r="J7" s="46" t="s">
        <v>8</v>
      </c>
      <c r="K7" s="46" t="s">
        <v>9</v>
      </c>
      <c r="L7" s="46" t="s">
        <v>10</v>
      </c>
      <c r="M7" s="46" t="s">
        <v>11</v>
      </c>
      <c r="N7" s="46" t="s">
        <v>12</v>
      </c>
      <c r="O7" s="46" t="s">
        <v>13</v>
      </c>
    </row>
    <row r="8" spans="1:15">
      <c r="B8" s="46" t="s">
        <v>14</v>
      </c>
      <c r="C8" s="46" t="s">
        <v>4637</v>
      </c>
      <c r="D8" s="46" t="s">
        <v>2382</v>
      </c>
      <c r="E8" s="46" t="s">
        <v>15</v>
      </c>
      <c r="F8" s="46" t="s">
        <v>4638</v>
      </c>
      <c r="G8" s="46" t="s">
        <v>4639</v>
      </c>
      <c r="H8" s="46" t="s">
        <v>1044</v>
      </c>
      <c r="I8" s="46" t="s">
        <v>1045</v>
      </c>
      <c r="J8" s="46" t="s">
        <v>1046</v>
      </c>
      <c r="K8" s="46" t="s">
        <v>1047</v>
      </c>
      <c r="L8" s="46" t="s">
        <v>1048</v>
      </c>
      <c r="M8" s="46" t="s">
        <v>1049</v>
      </c>
      <c r="N8" s="46" t="s">
        <v>1050</v>
      </c>
      <c r="O8" s="46" t="s">
        <v>1051</v>
      </c>
    </row>
    <row r="9" spans="1:15">
      <c r="B9" s="46" t="s">
        <v>14</v>
      </c>
      <c r="C9" s="46" t="s">
        <v>4640</v>
      </c>
      <c r="D9" s="46" t="s">
        <v>2392</v>
      </c>
      <c r="E9" s="46" t="s">
        <v>16</v>
      </c>
      <c r="F9" s="46" t="s">
        <v>4641</v>
      </c>
      <c r="G9" s="46" t="s">
        <v>4642</v>
      </c>
      <c r="H9" s="46" t="s">
        <v>1052</v>
      </c>
      <c r="I9" s="46" t="s">
        <v>1053</v>
      </c>
      <c r="J9" s="46" t="s">
        <v>1054</v>
      </c>
      <c r="K9" s="46" t="s">
        <v>1055</v>
      </c>
      <c r="L9" s="46" t="s">
        <v>1056</v>
      </c>
      <c r="M9" s="46" t="s">
        <v>1057</v>
      </c>
      <c r="N9" s="46" t="s">
        <v>1058</v>
      </c>
      <c r="O9" s="46" t="s">
        <v>1059</v>
      </c>
    </row>
    <row r="10" spans="1:15">
      <c r="B10" s="46" t="s">
        <v>14</v>
      </c>
      <c r="C10" s="46" t="s">
        <v>4643</v>
      </c>
      <c r="D10" s="46" t="s">
        <v>2402</v>
      </c>
      <c r="O10" s="46" t="s">
        <v>1060</v>
      </c>
    </row>
    <row r="11" spans="1:15">
      <c r="B11" s="46" t="s">
        <v>17</v>
      </c>
      <c r="C11" s="46" t="s">
        <v>4644</v>
      </c>
      <c r="D11" s="46" t="s">
        <v>2412</v>
      </c>
      <c r="E11" s="46" t="s">
        <v>18</v>
      </c>
      <c r="F11" s="46" t="s">
        <v>4645</v>
      </c>
      <c r="G11" s="46" t="s">
        <v>4646</v>
      </c>
      <c r="H11" s="46" t="s">
        <v>1061</v>
      </c>
      <c r="I11" s="46" t="s">
        <v>1062</v>
      </c>
      <c r="J11" s="46" t="s">
        <v>1063</v>
      </c>
      <c r="K11" s="46" t="s">
        <v>1064</v>
      </c>
      <c r="L11" s="46" t="s">
        <v>1065</v>
      </c>
      <c r="M11" s="46" t="s">
        <v>1066</v>
      </c>
      <c r="N11" s="46" t="s">
        <v>1067</v>
      </c>
      <c r="O11" s="46" t="s">
        <v>1068</v>
      </c>
    </row>
    <row r="12" spans="1:15">
      <c r="B12" s="46" t="s">
        <v>17</v>
      </c>
      <c r="C12" s="46" t="s">
        <v>4647</v>
      </c>
      <c r="D12" s="46" t="s">
        <v>2422</v>
      </c>
      <c r="E12" s="46" t="s">
        <v>19</v>
      </c>
      <c r="F12" s="46" t="s">
        <v>4648</v>
      </c>
      <c r="G12" s="46" t="s">
        <v>4649</v>
      </c>
      <c r="H12" s="46" t="s">
        <v>1069</v>
      </c>
      <c r="I12" s="46" t="s">
        <v>1070</v>
      </c>
      <c r="J12" s="46" t="s">
        <v>1071</v>
      </c>
      <c r="K12" s="46" t="s">
        <v>1072</v>
      </c>
      <c r="L12" s="46" t="s">
        <v>1073</v>
      </c>
      <c r="M12" s="46" t="s">
        <v>1074</v>
      </c>
      <c r="N12" s="46" t="s">
        <v>1075</v>
      </c>
      <c r="O12" s="46" t="s">
        <v>1076</v>
      </c>
    </row>
    <row r="13" spans="1:15">
      <c r="B13" s="46" t="s">
        <v>17</v>
      </c>
      <c r="C13" s="46" t="s">
        <v>4650</v>
      </c>
      <c r="D13" s="46" t="s">
        <v>2432</v>
      </c>
      <c r="O13" s="46" t="s">
        <v>1077</v>
      </c>
    </row>
    <row r="14" spans="1:15">
      <c r="B14" s="46" t="s">
        <v>20</v>
      </c>
      <c r="C14" s="46" t="s">
        <v>4651</v>
      </c>
      <c r="D14" s="46" t="s">
        <v>2442</v>
      </c>
      <c r="E14" s="46" t="s">
        <v>21</v>
      </c>
      <c r="F14" s="46" t="s">
        <v>4652</v>
      </c>
      <c r="G14" s="46" t="s">
        <v>4653</v>
      </c>
      <c r="H14" s="46" t="s">
        <v>1078</v>
      </c>
      <c r="I14" s="46" t="s">
        <v>1079</v>
      </c>
      <c r="J14" s="46" t="s">
        <v>1080</v>
      </c>
      <c r="K14" s="46" t="s">
        <v>1081</v>
      </c>
      <c r="L14" s="46" t="s">
        <v>1082</v>
      </c>
      <c r="M14" s="46" t="s">
        <v>1083</v>
      </c>
      <c r="N14" s="46" t="s">
        <v>1084</v>
      </c>
      <c r="O14" s="46" t="s">
        <v>1085</v>
      </c>
    </row>
    <row r="15" spans="1:15">
      <c r="B15" s="46" t="s">
        <v>20</v>
      </c>
      <c r="C15" s="46" t="s">
        <v>4654</v>
      </c>
      <c r="D15" s="46" t="s">
        <v>2452</v>
      </c>
      <c r="E15" s="46" t="s">
        <v>22</v>
      </c>
      <c r="F15" s="46" t="s">
        <v>4655</v>
      </c>
      <c r="G15" s="46" t="s">
        <v>4656</v>
      </c>
      <c r="H15" s="46" t="s">
        <v>1086</v>
      </c>
      <c r="I15" s="46" t="s">
        <v>1087</v>
      </c>
      <c r="J15" s="46" t="s">
        <v>1088</v>
      </c>
      <c r="K15" s="46" t="s">
        <v>1089</v>
      </c>
      <c r="L15" s="46" t="s">
        <v>1090</v>
      </c>
      <c r="M15" s="46" t="s">
        <v>1091</v>
      </c>
      <c r="N15" s="46" t="s">
        <v>1092</v>
      </c>
      <c r="O15" s="46" t="s">
        <v>1093</v>
      </c>
    </row>
    <row r="16" spans="1:15">
      <c r="B16" s="46" t="s">
        <v>20</v>
      </c>
      <c r="C16" s="46" t="s">
        <v>4657</v>
      </c>
      <c r="D16" s="46" t="s">
        <v>2462</v>
      </c>
      <c r="O16" s="46" t="s">
        <v>1094</v>
      </c>
    </row>
    <row r="17" spans="2:15">
      <c r="B17" s="46" t="s">
        <v>23</v>
      </c>
      <c r="C17" s="46" t="s">
        <v>4658</v>
      </c>
      <c r="D17" s="46" t="s">
        <v>2472</v>
      </c>
      <c r="H17" s="46" t="s">
        <v>1095</v>
      </c>
      <c r="I17" s="46" t="s">
        <v>1096</v>
      </c>
      <c r="J17" s="46" t="s">
        <v>1097</v>
      </c>
      <c r="K17" s="46" t="s">
        <v>1098</v>
      </c>
      <c r="L17" s="46" t="s">
        <v>1099</v>
      </c>
      <c r="M17" s="46" t="s">
        <v>1100</v>
      </c>
      <c r="N17" s="46" t="s">
        <v>1101</v>
      </c>
      <c r="O17" s="46" t="s">
        <v>1102</v>
      </c>
    </row>
    <row r="18" spans="2:15">
      <c r="B18" s="46" t="s">
        <v>24</v>
      </c>
      <c r="C18" s="46" t="s">
        <v>4659</v>
      </c>
      <c r="D18" s="46" t="s">
        <v>2482</v>
      </c>
      <c r="H18" s="46" t="s">
        <v>1095</v>
      </c>
      <c r="I18" s="46" t="s">
        <v>1103</v>
      </c>
      <c r="J18" s="46" t="s">
        <v>1104</v>
      </c>
      <c r="K18" s="46" t="s">
        <v>1105</v>
      </c>
      <c r="L18" s="46" t="s">
        <v>1106</v>
      </c>
      <c r="M18" s="46" t="s">
        <v>1107</v>
      </c>
      <c r="N18" s="46" t="s">
        <v>1108</v>
      </c>
      <c r="O18" s="46" t="s">
        <v>1109</v>
      </c>
    </row>
    <row r="19" spans="2:15">
      <c r="B19" s="46" t="s">
        <v>25</v>
      </c>
      <c r="C19" s="46" t="s">
        <v>4660</v>
      </c>
      <c r="D19" s="46" t="s">
        <v>2492</v>
      </c>
      <c r="E19" s="46" t="s">
        <v>26</v>
      </c>
      <c r="F19" s="46" t="s">
        <v>4661</v>
      </c>
      <c r="G19" s="46" t="s">
        <v>4662</v>
      </c>
      <c r="H19" s="46" t="s">
        <v>1110</v>
      </c>
      <c r="I19" s="46" t="s">
        <v>1111</v>
      </c>
      <c r="J19" s="46" t="s">
        <v>1112</v>
      </c>
      <c r="K19" s="46" t="s">
        <v>1113</v>
      </c>
      <c r="L19" s="46" t="s">
        <v>1114</v>
      </c>
      <c r="M19" s="46" t="s">
        <v>1115</v>
      </c>
      <c r="N19" s="46" t="s">
        <v>1116</v>
      </c>
      <c r="O19" s="46" t="s">
        <v>1117</v>
      </c>
    </row>
    <row r="20" spans="2:15">
      <c r="B20" s="46" t="s">
        <v>25</v>
      </c>
      <c r="C20" s="46" t="s">
        <v>4663</v>
      </c>
      <c r="D20" s="46" t="s">
        <v>2502</v>
      </c>
      <c r="E20" s="46" t="s">
        <v>27</v>
      </c>
      <c r="F20" s="46" t="s">
        <v>4664</v>
      </c>
      <c r="G20" s="46" t="s">
        <v>4665</v>
      </c>
      <c r="H20" s="46" t="s">
        <v>1118</v>
      </c>
      <c r="I20" s="46" t="s">
        <v>1119</v>
      </c>
      <c r="J20" s="46" t="s">
        <v>1120</v>
      </c>
      <c r="K20" s="46" t="s">
        <v>1121</v>
      </c>
      <c r="L20" s="46" t="s">
        <v>1122</v>
      </c>
      <c r="M20" s="46" t="s">
        <v>1123</v>
      </c>
      <c r="N20" s="46" t="s">
        <v>1124</v>
      </c>
      <c r="O20" s="46" t="s">
        <v>1125</v>
      </c>
    </row>
    <row r="21" spans="2:15">
      <c r="B21" s="46" t="s">
        <v>25</v>
      </c>
      <c r="C21" s="46" t="s">
        <v>4666</v>
      </c>
      <c r="D21" s="46" t="s">
        <v>2512</v>
      </c>
      <c r="O21" s="46" t="s">
        <v>1126</v>
      </c>
    </row>
    <row r="22" spans="2:15">
      <c r="B22" s="46" t="s">
        <v>28</v>
      </c>
      <c r="C22" s="46" t="s">
        <v>4667</v>
      </c>
      <c r="D22" s="46" t="s">
        <v>2522</v>
      </c>
      <c r="E22" s="46" t="s">
        <v>29</v>
      </c>
      <c r="F22" s="46" t="s">
        <v>4668</v>
      </c>
      <c r="G22" s="46" t="s">
        <v>4669</v>
      </c>
      <c r="H22" s="46" t="s">
        <v>1127</v>
      </c>
      <c r="I22" s="46" t="s">
        <v>1128</v>
      </c>
      <c r="J22" s="46" t="s">
        <v>1129</v>
      </c>
      <c r="K22" s="46" t="s">
        <v>1130</v>
      </c>
      <c r="L22" s="46" t="s">
        <v>1131</v>
      </c>
      <c r="M22" s="46" t="s">
        <v>1132</v>
      </c>
      <c r="N22" s="46" t="s">
        <v>1133</v>
      </c>
      <c r="O22" s="46" t="s">
        <v>1134</v>
      </c>
    </row>
    <row r="23" spans="2:15">
      <c r="B23" s="46" t="s">
        <v>28</v>
      </c>
      <c r="C23" s="46" t="s">
        <v>4670</v>
      </c>
      <c r="D23" s="46" t="s">
        <v>2532</v>
      </c>
      <c r="E23" s="46" t="s">
        <v>27</v>
      </c>
      <c r="F23" s="46" t="s">
        <v>4671</v>
      </c>
      <c r="G23" s="46" t="s">
        <v>4672</v>
      </c>
      <c r="H23" s="46" t="s">
        <v>1135</v>
      </c>
      <c r="I23" s="46" t="s">
        <v>1136</v>
      </c>
      <c r="J23" s="46" t="s">
        <v>1137</v>
      </c>
      <c r="K23" s="46" t="s">
        <v>1138</v>
      </c>
      <c r="L23" s="46" t="s">
        <v>1139</v>
      </c>
      <c r="M23" s="46" t="s">
        <v>1140</v>
      </c>
      <c r="N23" s="46" t="s">
        <v>1141</v>
      </c>
      <c r="O23" s="46" t="s">
        <v>1142</v>
      </c>
    </row>
    <row r="24" spans="2:15">
      <c r="B24" s="46" t="s">
        <v>28</v>
      </c>
      <c r="C24" s="46" t="s">
        <v>4673</v>
      </c>
      <c r="D24" s="46" t="s">
        <v>2541</v>
      </c>
      <c r="O24" s="46" t="s">
        <v>1143</v>
      </c>
    </row>
    <row r="25" spans="2:15">
      <c r="B25" s="46" t="s">
        <v>30</v>
      </c>
      <c r="C25" s="46" t="s">
        <v>4674</v>
      </c>
      <c r="D25" s="46" t="s">
        <v>2550</v>
      </c>
      <c r="E25" s="46" t="s">
        <v>31</v>
      </c>
      <c r="F25" s="46" t="s">
        <v>4675</v>
      </c>
      <c r="G25" s="46" t="s">
        <v>4676</v>
      </c>
      <c r="H25" s="46" t="s">
        <v>1144</v>
      </c>
      <c r="I25" s="46" t="s">
        <v>1145</v>
      </c>
      <c r="J25" s="46" t="s">
        <v>1146</v>
      </c>
      <c r="K25" s="46" t="s">
        <v>1147</v>
      </c>
      <c r="L25" s="46" t="s">
        <v>1148</v>
      </c>
      <c r="M25" s="46" t="s">
        <v>1149</v>
      </c>
      <c r="N25" s="46" t="s">
        <v>1150</v>
      </c>
      <c r="O25" s="46" t="s">
        <v>1151</v>
      </c>
    </row>
    <row r="26" spans="2:15">
      <c r="B26" s="46" t="s">
        <v>30</v>
      </c>
      <c r="C26" s="46" t="s">
        <v>4677</v>
      </c>
      <c r="D26" s="46" t="s">
        <v>2560</v>
      </c>
      <c r="E26" s="46" t="s">
        <v>27</v>
      </c>
      <c r="F26" s="46" t="s">
        <v>4678</v>
      </c>
      <c r="G26" s="46" t="s">
        <v>4679</v>
      </c>
      <c r="H26" s="46" t="s">
        <v>1152</v>
      </c>
      <c r="I26" s="46" t="s">
        <v>1153</v>
      </c>
      <c r="J26" s="46" t="s">
        <v>1154</v>
      </c>
      <c r="K26" s="46" t="s">
        <v>1155</v>
      </c>
      <c r="L26" s="46" t="s">
        <v>1156</v>
      </c>
      <c r="M26" s="46" t="s">
        <v>1157</v>
      </c>
      <c r="N26" s="46" t="s">
        <v>1158</v>
      </c>
      <c r="O26" s="46" t="s">
        <v>1159</v>
      </c>
    </row>
    <row r="27" spans="2:15">
      <c r="B27" s="46" t="s">
        <v>30</v>
      </c>
      <c r="C27" s="46" t="s">
        <v>4680</v>
      </c>
      <c r="D27" s="46" t="s">
        <v>2570</v>
      </c>
      <c r="O27" s="46" t="s">
        <v>1160</v>
      </c>
    </row>
    <row r="28" spans="2:15">
      <c r="B28" s="46" t="s">
        <v>32</v>
      </c>
      <c r="C28" s="46" t="s">
        <v>4681</v>
      </c>
      <c r="D28" s="46" t="s">
        <v>2580</v>
      </c>
      <c r="E28" s="46" t="s">
        <v>33</v>
      </c>
      <c r="F28" s="46" t="s">
        <v>4682</v>
      </c>
      <c r="G28" s="46" t="s">
        <v>4683</v>
      </c>
      <c r="H28" s="46" t="s">
        <v>1161</v>
      </c>
      <c r="I28" s="46" t="s">
        <v>1162</v>
      </c>
      <c r="J28" s="46" t="s">
        <v>1163</v>
      </c>
      <c r="K28" s="46" t="s">
        <v>1164</v>
      </c>
      <c r="L28" s="46" t="s">
        <v>1165</v>
      </c>
      <c r="M28" s="46" t="s">
        <v>1166</v>
      </c>
      <c r="N28" s="46" t="s">
        <v>1167</v>
      </c>
      <c r="O28" s="46" t="s">
        <v>1168</v>
      </c>
    </row>
    <row r="29" spans="2:15">
      <c r="B29" s="46" t="s">
        <v>32</v>
      </c>
      <c r="C29" s="46" t="s">
        <v>4684</v>
      </c>
      <c r="D29" s="46" t="s">
        <v>2590</v>
      </c>
      <c r="E29" s="46" t="s">
        <v>34</v>
      </c>
      <c r="F29" s="46" t="s">
        <v>4685</v>
      </c>
      <c r="G29" s="46" t="s">
        <v>4686</v>
      </c>
      <c r="H29" s="46" t="s">
        <v>1169</v>
      </c>
      <c r="I29" s="46" t="s">
        <v>1170</v>
      </c>
      <c r="J29" s="46" t="s">
        <v>1171</v>
      </c>
      <c r="K29" s="46" t="s">
        <v>1172</v>
      </c>
      <c r="L29" s="46" t="s">
        <v>1173</v>
      </c>
      <c r="M29" s="46" t="s">
        <v>1174</v>
      </c>
      <c r="N29" s="46" t="s">
        <v>1175</v>
      </c>
      <c r="O29" s="46" t="s">
        <v>1176</v>
      </c>
    </row>
    <row r="30" spans="2:15">
      <c r="B30" s="46" t="s">
        <v>32</v>
      </c>
      <c r="C30" s="46" t="s">
        <v>4687</v>
      </c>
      <c r="D30" s="46" t="s">
        <v>2600</v>
      </c>
      <c r="O30" s="46" t="s">
        <v>1177</v>
      </c>
    </row>
    <row r="31" spans="2:15">
      <c r="B31" s="46" t="s">
        <v>35</v>
      </c>
      <c r="C31" s="46" t="s">
        <v>4688</v>
      </c>
      <c r="D31" s="46" t="s">
        <v>2610</v>
      </c>
      <c r="E31" s="46" t="s">
        <v>36</v>
      </c>
      <c r="F31" s="46" t="s">
        <v>4689</v>
      </c>
      <c r="G31" s="46" t="s">
        <v>4690</v>
      </c>
      <c r="H31" s="46" t="s">
        <v>1178</v>
      </c>
      <c r="I31" s="46" t="s">
        <v>1179</v>
      </c>
      <c r="J31" s="46" t="s">
        <v>1180</v>
      </c>
      <c r="K31" s="46" t="s">
        <v>1181</v>
      </c>
      <c r="L31" s="46" t="s">
        <v>1182</v>
      </c>
      <c r="M31" s="46" t="s">
        <v>1183</v>
      </c>
      <c r="N31" s="46" t="s">
        <v>1184</v>
      </c>
      <c r="O31" s="46" t="s">
        <v>1185</v>
      </c>
    </row>
    <row r="32" spans="2:15">
      <c r="B32" s="46" t="s">
        <v>35</v>
      </c>
      <c r="C32" s="46" t="s">
        <v>4691</v>
      </c>
      <c r="D32" s="46" t="s">
        <v>2620</v>
      </c>
      <c r="E32" s="46" t="s">
        <v>27</v>
      </c>
      <c r="F32" s="46" t="s">
        <v>4692</v>
      </c>
      <c r="G32" s="46" t="s">
        <v>4693</v>
      </c>
      <c r="H32" s="46" t="s">
        <v>1186</v>
      </c>
      <c r="I32" s="46" t="s">
        <v>1187</v>
      </c>
      <c r="J32" s="46" t="s">
        <v>1188</v>
      </c>
      <c r="K32" s="46" t="s">
        <v>1189</v>
      </c>
      <c r="L32" s="46" t="s">
        <v>1190</v>
      </c>
      <c r="M32" s="46" t="s">
        <v>1191</v>
      </c>
      <c r="N32" s="46" t="s">
        <v>1192</v>
      </c>
      <c r="O32" s="46" t="s">
        <v>1193</v>
      </c>
    </row>
    <row r="33" spans="2:15">
      <c r="B33" s="46" t="s">
        <v>35</v>
      </c>
      <c r="C33" s="46" t="s">
        <v>4694</v>
      </c>
      <c r="D33" s="46" t="s">
        <v>2630</v>
      </c>
      <c r="O33" s="46" t="s">
        <v>1194</v>
      </c>
    </row>
    <row r="34" spans="2:15">
      <c r="B34" s="46" t="s">
        <v>37</v>
      </c>
      <c r="C34" s="46" t="s">
        <v>4695</v>
      </c>
      <c r="D34" s="46" t="s">
        <v>2640</v>
      </c>
      <c r="E34" s="46" t="s">
        <v>38</v>
      </c>
      <c r="F34" s="46" t="s">
        <v>4696</v>
      </c>
      <c r="G34" s="46" t="s">
        <v>4697</v>
      </c>
      <c r="H34" s="46" t="s">
        <v>1195</v>
      </c>
      <c r="I34" s="46" t="s">
        <v>1196</v>
      </c>
      <c r="J34" s="46" t="s">
        <v>1197</v>
      </c>
      <c r="K34" s="46" t="s">
        <v>1198</v>
      </c>
      <c r="L34" s="46" t="s">
        <v>1199</v>
      </c>
      <c r="M34" s="46" t="s">
        <v>1200</v>
      </c>
      <c r="N34" s="46" t="s">
        <v>1201</v>
      </c>
      <c r="O34" s="46" t="s">
        <v>1202</v>
      </c>
    </row>
    <row r="35" spans="2:15">
      <c r="B35" s="46" t="s">
        <v>37</v>
      </c>
      <c r="C35" s="46" t="s">
        <v>4698</v>
      </c>
      <c r="D35" s="46" t="s">
        <v>2650</v>
      </c>
      <c r="E35" s="46" t="s">
        <v>27</v>
      </c>
      <c r="F35" s="46" t="s">
        <v>4699</v>
      </c>
      <c r="G35" s="46" t="s">
        <v>4700</v>
      </c>
      <c r="H35" s="46" t="s">
        <v>1203</v>
      </c>
      <c r="I35" s="46" t="s">
        <v>1204</v>
      </c>
      <c r="J35" s="46" t="s">
        <v>1205</v>
      </c>
      <c r="K35" s="46" t="s">
        <v>1206</v>
      </c>
      <c r="L35" s="46" t="s">
        <v>1207</v>
      </c>
      <c r="M35" s="46" t="s">
        <v>1208</v>
      </c>
      <c r="N35" s="46" t="s">
        <v>1209</v>
      </c>
      <c r="O35" s="46" t="s">
        <v>1210</v>
      </c>
    </row>
    <row r="36" spans="2:15">
      <c r="B36" s="46" t="s">
        <v>37</v>
      </c>
      <c r="C36" s="46" t="s">
        <v>4701</v>
      </c>
      <c r="D36" s="46" t="s">
        <v>2660</v>
      </c>
      <c r="O36" s="46" t="s">
        <v>1211</v>
      </c>
    </row>
    <row r="37" spans="2:15">
      <c r="B37" s="46" t="s">
        <v>39</v>
      </c>
      <c r="C37" s="46" t="s">
        <v>4702</v>
      </c>
      <c r="D37" s="46" t="s">
        <v>2670</v>
      </c>
      <c r="E37" s="46" t="s">
        <v>40</v>
      </c>
      <c r="F37" s="46" t="s">
        <v>4703</v>
      </c>
      <c r="G37" s="46" t="s">
        <v>4704</v>
      </c>
      <c r="H37" s="46" t="s">
        <v>1212</v>
      </c>
      <c r="I37" s="46" t="s">
        <v>1213</v>
      </c>
      <c r="J37" s="46" t="s">
        <v>1214</v>
      </c>
      <c r="K37" s="46" t="s">
        <v>1215</v>
      </c>
      <c r="L37" s="46" t="s">
        <v>1216</v>
      </c>
      <c r="M37" s="46" t="s">
        <v>1217</v>
      </c>
      <c r="N37" s="46" t="s">
        <v>1218</v>
      </c>
      <c r="O37" s="46" t="s">
        <v>1219</v>
      </c>
    </row>
    <row r="38" spans="2:15">
      <c r="B38" s="46" t="s">
        <v>39</v>
      </c>
      <c r="C38" s="46" t="s">
        <v>4705</v>
      </c>
      <c r="D38" s="46" t="s">
        <v>2680</v>
      </c>
      <c r="E38" s="46" t="s">
        <v>27</v>
      </c>
      <c r="F38" s="46" t="s">
        <v>4706</v>
      </c>
      <c r="G38" s="46" t="s">
        <v>4707</v>
      </c>
      <c r="H38" s="46" t="s">
        <v>1220</v>
      </c>
      <c r="I38" s="46" t="s">
        <v>1221</v>
      </c>
      <c r="J38" s="46" t="s">
        <v>1222</v>
      </c>
      <c r="K38" s="46" t="s">
        <v>1223</v>
      </c>
      <c r="L38" s="46" t="s">
        <v>1224</v>
      </c>
      <c r="M38" s="46" t="s">
        <v>1225</v>
      </c>
      <c r="N38" s="46" t="s">
        <v>1226</v>
      </c>
      <c r="O38" s="46" t="s">
        <v>1227</v>
      </c>
    </row>
    <row r="39" spans="2:15">
      <c r="B39" s="46" t="s">
        <v>39</v>
      </c>
      <c r="C39" s="46" t="s">
        <v>4708</v>
      </c>
      <c r="D39" s="46" t="s">
        <v>2690</v>
      </c>
      <c r="O39" s="46" t="s">
        <v>1228</v>
      </c>
    </row>
    <row r="40" spans="2:15">
      <c r="B40" s="46" t="s">
        <v>41</v>
      </c>
      <c r="C40" s="46" t="s">
        <v>4709</v>
      </c>
      <c r="D40" s="46" t="s">
        <v>2700</v>
      </c>
      <c r="E40" s="46" t="s">
        <v>42</v>
      </c>
      <c r="F40" s="46" t="s">
        <v>4710</v>
      </c>
      <c r="G40" s="46" t="s">
        <v>4711</v>
      </c>
      <c r="H40" s="46" t="s">
        <v>1229</v>
      </c>
      <c r="I40" s="46" t="s">
        <v>1230</v>
      </c>
      <c r="J40" s="46" t="s">
        <v>1231</v>
      </c>
      <c r="K40" s="46" t="s">
        <v>1232</v>
      </c>
      <c r="L40" s="46" t="s">
        <v>1233</v>
      </c>
      <c r="M40" s="46" t="s">
        <v>1234</v>
      </c>
      <c r="N40" s="46" t="s">
        <v>1235</v>
      </c>
      <c r="O40" s="46" t="s">
        <v>1236</v>
      </c>
    </row>
    <row r="41" spans="2:15">
      <c r="B41" s="46" t="s">
        <v>41</v>
      </c>
      <c r="C41" s="46" t="s">
        <v>4712</v>
      </c>
      <c r="D41" s="46" t="s">
        <v>2710</v>
      </c>
      <c r="E41" s="46" t="s">
        <v>43</v>
      </c>
      <c r="F41" s="46" t="s">
        <v>4713</v>
      </c>
      <c r="G41" s="46" t="s">
        <v>4714</v>
      </c>
      <c r="H41" s="46" t="s">
        <v>1237</v>
      </c>
      <c r="I41" s="46" t="s">
        <v>1238</v>
      </c>
      <c r="J41" s="46" t="s">
        <v>1239</v>
      </c>
      <c r="K41" s="46" t="s">
        <v>1240</v>
      </c>
      <c r="L41" s="46" t="s">
        <v>1241</v>
      </c>
      <c r="M41" s="46" t="s">
        <v>1242</v>
      </c>
      <c r="N41" s="46" t="s">
        <v>1243</v>
      </c>
      <c r="O41" s="46" t="s">
        <v>1244</v>
      </c>
    </row>
    <row r="42" spans="2:15">
      <c r="B42" s="46" t="s">
        <v>41</v>
      </c>
      <c r="C42" s="46" t="s">
        <v>4715</v>
      </c>
      <c r="D42" s="46" t="s">
        <v>2720</v>
      </c>
      <c r="O42" s="46" t="s">
        <v>1245</v>
      </c>
    </row>
    <row r="43" spans="2:15">
      <c r="B43" s="46" t="s">
        <v>44</v>
      </c>
      <c r="C43" s="46" t="s">
        <v>4716</v>
      </c>
      <c r="D43" s="46" t="s">
        <v>2730</v>
      </c>
      <c r="E43" s="46" t="s">
        <v>45</v>
      </c>
      <c r="F43" s="46" t="s">
        <v>4717</v>
      </c>
      <c r="G43" s="46" t="s">
        <v>4718</v>
      </c>
      <c r="H43" s="46" t="s">
        <v>1246</v>
      </c>
      <c r="I43" s="46" t="s">
        <v>1247</v>
      </c>
      <c r="J43" s="46" t="s">
        <v>1248</v>
      </c>
      <c r="K43" s="46" t="s">
        <v>1249</v>
      </c>
      <c r="L43" s="46" t="s">
        <v>1250</v>
      </c>
      <c r="M43" s="46" t="s">
        <v>1251</v>
      </c>
      <c r="N43" s="46" t="s">
        <v>1252</v>
      </c>
      <c r="O43" s="46" t="s">
        <v>1253</v>
      </c>
    </row>
    <row r="44" spans="2:15">
      <c r="B44" s="46" t="s">
        <v>44</v>
      </c>
      <c r="C44" s="46" t="s">
        <v>4719</v>
      </c>
      <c r="D44" s="46" t="s">
        <v>2740</v>
      </c>
      <c r="E44" s="46" t="s">
        <v>34</v>
      </c>
      <c r="F44" s="46" t="s">
        <v>4720</v>
      </c>
      <c r="G44" s="46" t="s">
        <v>4721</v>
      </c>
      <c r="H44" s="46" t="s">
        <v>1254</v>
      </c>
      <c r="I44" s="46" t="s">
        <v>1255</v>
      </c>
      <c r="J44" s="46" t="s">
        <v>1256</v>
      </c>
      <c r="K44" s="46" t="s">
        <v>1257</v>
      </c>
      <c r="L44" s="46" t="s">
        <v>1258</v>
      </c>
      <c r="M44" s="46" t="s">
        <v>1259</v>
      </c>
      <c r="N44" s="46" t="s">
        <v>1260</v>
      </c>
      <c r="O44" s="46" t="s">
        <v>1261</v>
      </c>
    </row>
    <row r="45" spans="2:15">
      <c r="B45" s="46" t="s">
        <v>44</v>
      </c>
      <c r="C45" s="46" t="s">
        <v>4722</v>
      </c>
      <c r="D45" s="46" t="s">
        <v>2750</v>
      </c>
      <c r="O45" s="46" t="s">
        <v>1262</v>
      </c>
    </row>
    <row r="46" spans="2:15">
      <c r="B46" s="46" t="s">
        <v>46</v>
      </c>
      <c r="C46" s="46" t="s">
        <v>4723</v>
      </c>
      <c r="D46" s="46" t="s">
        <v>2760</v>
      </c>
      <c r="E46" s="46" t="s">
        <v>27</v>
      </c>
      <c r="F46" s="46" t="s">
        <v>4724</v>
      </c>
      <c r="G46" s="46" t="s">
        <v>4725</v>
      </c>
      <c r="H46" s="46" t="s">
        <v>1263</v>
      </c>
      <c r="I46" s="46" t="s">
        <v>1264</v>
      </c>
      <c r="J46" s="46" t="s">
        <v>1265</v>
      </c>
      <c r="K46" s="46" t="s">
        <v>1266</v>
      </c>
      <c r="L46" s="46" t="s">
        <v>1267</v>
      </c>
      <c r="M46" s="46" t="s">
        <v>1268</v>
      </c>
      <c r="N46" s="46" t="s">
        <v>1269</v>
      </c>
      <c r="O46" s="46" t="s">
        <v>1270</v>
      </c>
    </row>
    <row r="47" spans="2:15">
      <c r="B47" s="46" t="s">
        <v>46</v>
      </c>
      <c r="C47" s="46" t="s">
        <v>4726</v>
      </c>
      <c r="D47" s="46" t="s">
        <v>2770</v>
      </c>
      <c r="E47" s="46" t="s">
        <v>47</v>
      </c>
      <c r="F47" s="46" t="s">
        <v>4727</v>
      </c>
      <c r="G47" s="46" t="s">
        <v>4728</v>
      </c>
      <c r="H47" s="46" t="s">
        <v>1271</v>
      </c>
      <c r="I47" s="46" t="s">
        <v>1272</v>
      </c>
      <c r="J47" s="46" t="s">
        <v>1273</v>
      </c>
      <c r="K47" s="46" t="s">
        <v>1274</v>
      </c>
      <c r="L47" s="46" t="s">
        <v>1275</v>
      </c>
      <c r="M47" s="46" t="s">
        <v>1276</v>
      </c>
      <c r="N47" s="46" t="s">
        <v>1277</v>
      </c>
      <c r="O47" s="46" t="s">
        <v>1278</v>
      </c>
    </row>
    <row r="48" spans="2:15">
      <c r="B48" s="46" t="s">
        <v>46</v>
      </c>
      <c r="C48" s="46" t="s">
        <v>4729</v>
      </c>
      <c r="D48" s="46" t="s">
        <v>2780</v>
      </c>
      <c r="O48" s="46" t="s">
        <v>1279</v>
      </c>
    </row>
    <row r="49" spans="2:15">
      <c r="B49" s="46" t="s">
        <v>48</v>
      </c>
      <c r="C49" s="46" t="s">
        <v>4730</v>
      </c>
      <c r="D49" s="46" t="s">
        <v>2790</v>
      </c>
      <c r="E49" s="46" t="s">
        <v>49</v>
      </c>
      <c r="F49" s="46" t="s">
        <v>4731</v>
      </c>
      <c r="G49" s="46" t="s">
        <v>4732</v>
      </c>
      <c r="H49" s="46" t="s">
        <v>1280</v>
      </c>
      <c r="I49" s="46" t="s">
        <v>1281</v>
      </c>
      <c r="J49" s="46" t="s">
        <v>1282</v>
      </c>
      <c r="K49" s="46" t="s">
        <v>1283</v>
      </c>
      <c r="L49" s="46" t="s">
        <v>1284</v>
      </c>
      <c r="M49" s="46" t="s">
        <v>1285</v>
      </c>
      <c r="N49" s="46" t="s">
        <v>1286</v>
      </c>
      <c r="O49" s="46" t="s">
        <v>1287</v>
      </c>
    </row>
    <row r="50" spans="2:15">
      <c r="B50" s="46" t="s">
        <v>48</v>
      </c>
      <c r="C50" s="46" t="s">
        <v>4733</v>
      </c>
      <c r="D50" s="46" t="s">
        <v>2800</v>
      </c>
      <c r="E50" s="46" t="s">
        <v>27</v>
      </c>
      <c r="F50" s="46" t="s">
        <v>4734</v>
      </c>
      <c r="G50" s="46" t="s">
        <v>4735</v>
      </c>
      <c r="H50" s="46" t="s">
        <v>1288</v>
      </c>
      <c r="I50" s="46" t="s">
        <v>1289</v>
      </c>
      <c r="J50" s="46" t="s">
        <v>1290</v>
      </c>
      <c r="K50" s="46" t="s">
        <v>1291</v>
      </c>
      <c r="L50" s="46" t="s">
        <v>1292</v>
      </c>
      <c r="M50" s="46" t="s">
        <v>1293</v>
      </c>
      <c r="N50" s="46" t="s">
        <v>1294</v>
      </c>
      <c r="O50" s="46" t="s">
        <v>1295</v>
      </c>
    </row>
    <row r="51" spans="2:15">
      <c r="B51" s="46" t="s">
        <v>48</v>
      </c>
      <c r="C51" s="46" t="s">
        <v>4736</v>
      </c>
      <c r="D51" s="46" t="s">
        <v>2810</v>
      </c>
      <c r="O51" s="46" t="s">
        <v>1296</v>
      </c>
    </row>
    <row r="52" spans="2:15">
      <c r="B52" s="46" t="s">
        <v>50</v>
      </c>
      <c r="C52" s="46" t="s">
        <v>4737</v>
      </c>
      <c r="D52" s="46" t="s">
        <v>2820</v>
      </c>
      <c r="E52" s="46" t="s">
        <v>51</v>
      </c>
      <c r="F52" s="46" t="s">
        <v>4738</v>
      </c>
      <c r="G52" s="46" t="s">
        <v>4739</v>
      </c>
      <c r="H52" s="46" t="s">
        <v>1297</v>
      </c>
      <c r="I52" s="46" t="s">
        <v>1298</v>
      </c>
      <c r="J52" s="46" t="s">
        <v>1299</v>
      </c>
      <c r="K52" s="46" t="s">
        <v>1300</v>
      </c>
      <c r="L52" s="46" t="s">
        <v>1301</v>
      </c>
      <c r="M52" s="46" t="s">
        <v>1302</v>
      </c>
      <c r="N52" s="46" t="s">
        <v>1303</v>
      </c>
      <c r="O52" s="46" t="s">
        <v>1304</v>
      </c>
    </row>
    <row r="53" spans="2:15">
      <c r="B53" s="46" t="s">
        <v>50</v>
      </c>
      <c r="C53" s="46" t="s">
        <v>4740</v>
      </c>
      <c r="D53" s="46" t="s">
        <v>2830</v>
      </c>
      <c r="E53" s="46" t="s">
        <v>27</v>
      </c>
      <c r="F53" s="46" t="s">
        <v>4741</v>
      </c>
      <c r="G53" s="46" t="s">
        <v>4742</v>
      </c>
      <c r="H53" s="46" t="s">
        <v>1305</v>
      </c>
      <c r="I53" s="46" t="s">
        <v>1306</v>
      </c>
      <c r="J53" s="46" t="s">
        <v>1307</v>
      </c>
      <c r="K53" s="46" t="s">
        <v>1308</v>
      </c>
      <c r="L53" s="46" t="s">
        <v>1309</v>
      </c>
      <c r="M53" s="46" t="s">
        <v>1310</v>
      </c>
      <c r="N53" s="46" t="s">
        <v>1311</v>
      </c>
      <c r="O53" s="46" t="s">
        <v>1312</v>
      </c>
    </row>
    <row r="54" spans="2:15">
      <c r="B54" s="46" t="s">
        <v>50</v>
      </c>
      <c r="C54" s="46" t="s">
        <v>4743</v>
      </c>
      <c r="D54" s="46" t="s">
        <v>2840</v>
      </c>
      <c r="O54" s="46" t="s">
        <v>1313</v>
      </c>
    </row>
    <row r="55" spans="2:15">
      <c r="B55" s="46" t="s">
        <v>52</v>
      </c>
      <c r="C55" s="46" t="s">
        <v>4744</v>
      </c>
      <c r="D55" s="46" t="s">
        <v>2850</v>
      </c>
      <c r="E55" s="46" t="s">
        <v>53</v>
      </c>
      <c r="F55" s="46" t="s">
        <v>4745</v>
      </c>
      <c r="G55" s="46" t="s">
        <v>4746</v>
      </c>
      <c r="H55" s="46" t="s">
        <v>1314</v>
      </c>
      <c r="I55" s="46" t="s">
        <v>1315</v>
      </c>
      <c r="J55" s="46" t="s">
        <v>1316</v>
      </c>
      <c r="K55" s="46" t="s">
        <v>1317</v>
      </c>
      <c r="L55" s="46" t="s">
        <v>1318</v>
      </c>
      <c r="M55" s="46" t="s">
        <v>1319</v>
      </c>
      <c r="N55" s="46" t="s">
        <v>1320</v>
      </c>
      <c r="O55" s="46" t="s">
        <v>1321</v>
      </c>
    </row>
    <row r="56" spans="2:15">
      <c r="B56" s="46" t="s">
        <v>52</v>
      </c>
      <c r="C56" s="46" t="s">
        <v>4747</v>
      </c>
      <c r="D56" s="46" t="s">
        <v>2860</v>
      </c>
      <c r="E56" s="46" t="s">
        <v>34</v>
      </c>
      <c r="F56" s="46" t="s">
        <v>4748</v>
      </c>
      <c r="G56" s="46" t="s">
        <v>4749</v>
      </c>
      <c r="H56" s="46" t="s">
        <v>1322</v>
      </c>
      <c r="I56" s="46" t="s">
        <v>1323</v>
      </c>
      <c r="J56" s="46" t="s">
        <v>1324</v>
      </c>
      <c r="K56" s="46" t="s">
        <v>1325</v>
      </c>
      <c r="L56" s="46" t="s">
        <v>1326</v>
      </c>
      <c r="M56" s="46" t="s">
        <v>1327</v>
      </c>
      <c r="N56" s="46" t="s">
        <v>1328</v>
      </c>
      <c r="O56" s="46" t="s">
        <v>1329</v>
      </c>
    </row>
    <row r="57" spans="2:15">
      <c r="B57" s="46" t="s">
        <v>52</v>
      </c>
      <c r="C57" s="46" t="s">
        <v>4750</v>
      </c>
      <c r="D57" s="46" t="s">
        <v>2870</v>
      </c>
      <c r="O57" s="46" t="s">
        <v>1330</v>
      </c>
    </row>
    <row r="58" spans="2:15">
      <c r="B58" s="46" t="s">
        <v>54</v>
      </c>
      <c r="C58" s="46" t="s">
        <v>4751</v>
      </c>
      <c r="D58" s="46" t="s">
        <v>2880</v>
      </c>
      <c r="E58" s="46" t="s">
        <v>55</v>
      </c>
      <c r="F58" s="46" t="s">
        <v>4752</v>
      </c>
      <c r="G58" s="46" t="s">
        <v>4753</v>
      </c>
      <c r="H58" s="46" t="s">
        <v>1331</v>
      </c>
      <c r="I58" s="46" t="s">
        <v>1332</v>
      </c>
      <c r="J58" s="46" t="s">
        <v>1333</v>
      </c>
      <c r="K58" s="46" t="s">
        <v>1334</v>
      </c>
      <c r="L58" s="46" t="s">
        <v>1335</v>
      </c>
      <c r="M58" s="46" t="s">
        <v>1336</v>
      </c>
      <c r="N58" s="46" t="s">
        <v>1337</v>
      </c>
      <c r="O58" s="46" t="s">
        <v>1338</v>
      </c>
    </row>
    <row r="59" spans="2:15">
      <c r="B59" s="46" t="s">
        <v>54</v>
      </c>
      <c r="C59" s="46" t="s">
        <v>4754</v>
      </c>
      <c r="D59" s="46" t="s">
        <v>2890</v>
      </c>
      <c r="E59" s="46" t="s">
        <v>56</v>
      </c>
      <c r="F59" s="46" t="s">
        <v>4755</v>
      </c>
      <c r="G59" s="46" t="s">
        <v>4756</v>
      </c>
      <c r="H59" s="46" t="s">
        <v>1339</v>
      </c>
      <c r="I59" s="46" t="s">
        <v>1340</v>
      </c>
      <c r="J59" s="46" t="s">
        <v>1341</v>
      </c>
      <c r="K59" s="46" t="s">
        <v>1342</v>
      </c>
      <c r="L59" s="46" t="s">
        <v>1343</v>
      </c>
      <c r="M59" s="46" t="s">
        <v>1344</v>
      </c>
      <c r="N59" s="46" t="s">
        <v>1345</v>
      </c>
      <c r="O59" s="46" t="s">
        <v>1346</v>
      </c>
    </row>
    <row r="60" spans="2:15">
      <c r="B60" s="46" t="s">
        <v>54</v>
      </c>
      <c r="C60" s="46" t="s">
        <v>4757</v>
      </c>
      <c r="D60" s="46" t="s">
        <v>2900</v>
      </c>
      <c r="O60" s="46" t="s">
        <v>1347</v>
      </c>
    </row>
    <row r="61" spans="2:15">
      <c r="B61" s="46" t="s">
        <v>57</v>
      </c>
      <c r="C61" s="46" t="s">
        <v>4758</v>
      </c>
      <c r="D61" s="46" t="s">
        <v>2909</v>
      </c>
      <c r="E61" s="46" t="s">
        <v>58</v>
      </c>
      <c r="F61" s="46" t="s">
        <v>4759</v>
      </c>
      <c r="G61" s="46" t="s">
        <v>4760</v>
      </c>
      <c r="H61" s="46" t="s">
        <v>1348</v>
      </c>
      <c r="I61" s="46" t="s">
        <v>1349</v>
      </c>
      <c r="J61" s="46" t="s">
        <v>1350</v>
      </c>
      <c r="K61" s="46" t="s">
        <v>1351</v>
      </c>
      <c r="L61" s="46" t="s">
        <v>1352</v>
      </c>
      <c r="M61" s="46" t="s">
        <v>1353</v>
      </c>
      <c r="N61" s="46" t="s">
        <v>1354</v>
      </c>
      <c r="O61" s="46" t="s">
        <v>1355</v>
      </c>
    </row>
    <row r="62" spans="2:15">
      <c r="B62" s="46" t="s">
        <v>57</v>
      </c>
      <c r="C62" s="46" t="s">
        <v>4761</v>
      </c>
      <c r="D62" s="46" t="s">
        <v>2919</v>
      </c>
      <c r="E62" s="46" t="s">
        <v>56</v>
      </c>
      <c r="F62" s="46" t="s">
        <v>4762</v>
      </c>
      <c r="G62" s="46" t="s">
        <v>4763</v>
      </c>
      <c r="H62" s="46" t="s">
        <v>1356</v>
      </c>
      <c r="I62" s="46" t="s">
        <v>1357</v>
      </c>
      <c r="J62" s="46" t="s">
        <v>1358</v>
      </c>
      <c r="K62" s="46" t="s">
        <v>1359</v>
      </c>
      <c r="L62" s="46" t="s">
        <v>1360</v>
      </c>
      <c r="M62" s="46" t="s">
        <v>1361</v>
      </c>
      <c r="N62" s="46" t="s">
        <v>1362</v>
      </c>
      <c r="O62" s="46" t="s">
        <v>1363</v>
      </c>
    </row>
    <row r="63" spans="2:15">
      <c r="B63" s="46" t="s">
        <v>57</v>
      </c>
      <c r="C63" s="46" t="s">
        <v>4764</v>
      </c>
      <c r="D63" s="46" t="s">
        <v>2928</v>
      </c>
      <c r="O63" s="46" t="s">
        <v>1364</v>
      </c>
    </row>
    <row r="64" spans="2:15">
      <c r="B64" s="46" t="s">
        <v>59</v>
      </c>
      <c r="C64" s="46" t="s">
        <v>4765</v>
      </c>
      <c r="D64" s="46" t="s">
        <v>2938</v>
      </c>
      <c r="E64" s="46" t="s">
        <v>60</v>
      </c>
      <c r="F64" s="46" t="s">
        <v>4766</v>
      </c>
      <c r="G64" s="46" t="s">
        <v>4767</v>
      </c>
      <c r="H64" s="46" t="s">
        <v>1365</v>
      </c>
      <c r="I64" s="46" t="s">
        <v>1366</v>
      </c>
      <c r="J64" s="46" t="s">
        <v>1367</v>
      </c>
      <c r="K64" s="46" t="s">
        <v>1368</v>
      </c>
      <c r="L64" s="46" t="s">
        <v>1369</v>
      </c>
      <c r="M64" s="46" t="s">
        <v>1370</v>
      </c>
      <c r="N64" s="46" t="s">
        <v>1371</v>
      </c>
      <c r="O64" s="46" t="s">
        <v>1372</v>
      </c>
    </row>
    <row r="65" spans="2:15">
      <c r="B65" s="46" t="s">
        <v>59</v>
      </c>
      <c r="C65" s="46" t="s">
        <v>4768</v>
      </c>
      <c r="D65" s="46" t="s">
        <v>2948</v>
      </c>
      <c r="E65" s="46" t="s">
        <v>56</v>
      </c>
      <c r="F65" s="46" t="s">
        <v>4769</v>
      </c>
      <c r="G65" s="46" t="s">
        <v>4770</v>
      </c>
      <c r="H65" s="46" t="s">
        <v>1373</v>
      </c>
      <c r="I65" s="46" t="s">
        <v>1374</v>
      </c>
      <c r="J65" s="46" t="s">
        <v>1375</v>
      </c>
      <c r="K65" s="46" t="s">
        <v>1376</v>
      </c>
      <c r="L65" s="46" t="s">
        <v>1377</v>
      </c>
      <c r="M65" s="46" t="s">
        <v>1378</v>
      </c>
      <c r="N65" s="46" t="s">
        <v>1379</v>
      </c>
      <c r="O65" s="46" t="s">
        <v>1380</v>
      </c>
    </row>
    <row r="66" spans="2:15">
      <c r="B66" s="46" t="s">
        <v>59</v>
      </c>
      <c r="C66" s="46" t="s">
        <v>4771</v>
      </c>
      <c r="D66" s="46" t="s">
        <v>2958</v>
      </c>
      <c r="O66" s="46" t="s">
        <v>1381</v>
      </c>
    </row>
    <row r="67" spans="2:15">
      <c r="B67" s="46" t="s">
        <v>61</v>
      </c>
      <c r="C67" s="46" t="s">
        <v>4772</v>
      </c>
      <c r="D67" s="46" t="s">
        <v>2968</v>
      </c>
      <c r="E67" s="46" t="s">
        <v>62</v>
      </c>
      <c r="F67" s="46" t="s">
        <v>4773</v>
      </c>
      <c r="G67" s="46" t="s">
        <v>4774</v>
      </c>
      <c r="H67" s="46" t="s">
        <v>1382</v>
      </c>
      <c r="I67" s="46" t="s">
        <v>1383</v>
      </c>
      <c r="J67" s="46" t="s">
        <v>1384</v>
      </c>
      <c r="K67" s="46" t="s">
        <v>1385</v>
      </c>
      <c r="L67" s="46" t="s">
        <v>1386</v>
      </c>
      <c r="M67" s="46" t="s">
        <v>1387</v>
      </c>
      <c r="N67" s="46" t="s">
        <v>1388</v>
      </c>
      <c r="O67" s="46" t="s">
        <v>1389</v>
      </c>
    </row>
    <row r="68" spans="2:15">
      <c r="B68" s="46" t="s">
        <v>61</v>
      </c>
      <c r="C68" s="46" t="s">
        <v>4775</v>
      </c>
      <c r="D68" s="46" t="s">
        <v>2978</v>
      </c>
      <c r="E68" s="46" t="s">
        <v>56</v>
      </c>
      <c r="F68" s="46" t="s">
        <v>4776</v>
      </c>
      <c r="G68" s="46" t="s">
        <v>4777</v>
      </c>
      <c r="H68" s="46" t="s">
        <v>1390</v>
      </c>
      <c r="I68" s="46" t="s">
        <v>1391</v>
      </c>
      <c r="J68" s="46" t="s">
        <v>1392</v>
      </c>
      <c r="K68" s="46" t="s">
        <v>1393</v>
      </c>
      <c r="L68" s="46" t="s">
        <v>1394</v>
      </c>
      <c r="M68" s="46" t="s">
        <v>1395</v>
      </c>
      <c r="N68" s="46" t="s">
        <v>1396</v>
      </c>
      <c r="O68" s="46" t="s">
        <v>1397</v>
      </c>
    </row>
    <row r="69" spans="2:15">
      <c r="B69" s="46" t="s">
        <v>61</v>
      </c>
      <c r="C69" s="46" t="s">
        <v>4778</v>
      </c>
      <c r="D69" s="46" t="s">
        <v>2988</v>
      </c>
      <c r="O69" s="46" t="s">
        <v>1398</v>
      </c>
    </row>
    <row r="70" spans="2:15">
      <c r="B70" s="46" t="s">
        <v>63</v>
      </c>
      <c r="C70" s="46" t="s">
        <v>4779</v>
      </c>
      <c r="D70" s="46" t="s">
        <v>2998</v>
      </c>
      <c r="E70" s="46" t="s">
        <v>64</v>
      </c>
      <c r="F70" s="46" t="s">
        <v>4780</v>
      </c>
      <c r="G70" s="46" t="s">
        <v>4781</v>
      </c>
      <c r="H70" s="46" t="s">
        <v>1399</v>
      </c>
      <c r="I70" s="46" t="s">
        <v>1400</v>
      </c>
      <c r="J70" s="46" t="s">
        <v>1401</v>
      </c>
      <c r="K70" s="46" t="s">
        <v>1402</v>
      </c>
      <c r="L70" s="46" t="s">
        <v>1403</v>
      </c>
      <c r="M70" s="46" t="s">
        <v>1404</v>
      </c>
      <c r="N70" s="46" t="s">
        <v>1405</v>
      </c>
      <c r="O70" s="46" t="s">
        <v>1406</v>
      </c>
    </row>
    <row r="71" spans="2:15">
      <c r="B71" s="46" t="s">
        <v>63</v>
      </c>
      <c r="C71" s="46" t="s">
        <v>4782</v>
      </c>
      <c r="D71" s="46" t="s">
        <v>3008</v>
      </c>
      <c r="E71" s="46" t="s">
        <v>56</v>
      </c>
      <c r="F71" s="46" t="s">
        <v>4783</v>
      </c>
      <c r="G71" s="46" t="s">
        <v>4784</v>
      </c>
      <c r="H71" s="46" t="s">
        <v>1407</v>
      </c>
      <c r="I71" s="46" t="s">
        <v>1408</v>
      </c>
      <c r="J71" s="46" t="s">
        <v>1409</v>
      </c>
      <c r="K71" s="46" t="s">
        <v>1410</v>
      </c>
      <c r="L71" s="46" t="s">
        <v>1411</v>
      </c>
      <c r="M71" s="46" t="s">
        <v>1412</v>
      </c>
      <c r="N71" s="46" t="s">
        <v>1413</v>
      </c>
      <c r="O71" s="46" t="s">
        <v>1414</v>
      </c>
    </row>
    <row r="72" spans="2:15">
      <c r="B72" s="46" t="s">
        <v>63</v>
      </c>
      <c r="C72" s="46" t="s">
        <v>4785</v>
      </c>
      <c r="D72" s="46" t="s">
        <v>3018</v>
      </c>
      <c r="O72" s="46" t="s">
        <v>1415</v>
      </c>
    </row>
    <row r="73" spans="2:15">
      <c r="B73" s="46" t="s">
        <v>65</v>
      </c>
      <c r="C73" s="46" t="s">
        <v>4786</v>
      </c>
      <c r="D73" s="46" t="s">
        <v>3028</v>
      </c>
      <c r="H73" s="46" t="s">
        <v>1095</v>
      </c>
      <c r="I73" s="46" t="s">
        <v>1416</v>
      </c>
      <c r="J73" s="46" t="s">
        <v>1417</v>
      </c>
      <c r="K73" s="46" t="s">
        <v>1418</v>
      </c>
      <c r="L73" s="46" t="s">
        <v>1419</v>
      </c>
      <c r="M73" s="46" t="s">
        <v>1420</v>
      </c>
      <c r="N73" s="46" t="s">
        <v>1421</v>
      </c>
      <c r="O73" s="46" t="s">
        <v>1422</v>
      </c>
    </row>
    <row r="74" spans="2:15">
      <c r="B74" s="46" t="s">
        <v>66</v>
      </c>
      <c r="C74" s="46" t="s">
        <v>4787</v>
      </c>
      <c r="D74" s="46" t="s">
        <v>3038</v>
      </c>
      <c r="H74" s="46" t="s">
        <v>1095</v>
      </c>
      <c r="I74" s="46" t="s">
        <v>1423</v>
      </c>
      <c r="J74" s="46" t="s">
        <v>1424</v>
      </c>
      <c r="K74" s="46" t="s">
        <v>1425</v>
      </c>
      <c r="L74" s="46" t="s">
        <v>1426</v>
      </c>
      <c r="M74" s="46" t="s">
        <v>1427</v>
      </c>
      <c r="N74" s="46" t="s">
        <v>1428</v>
      </c>
      <c r="O74" s="46" t="s">
        <v>1429</v>
      </c>
    </row>
    <row r="75" spans="2:15">
      <c r="B75" s="46" t="s">
        <v>67</v>
      </c>
      <c r="C75" s="46" t="s">
        <v>4788</v>
      </c>
      <c r="D75" s="46" t="s">
        <v>3048</v>
      </c>
      <c r="H75" s="46" t="s">
        <v>1095</v>
      </c>
      <c r="I75" s="46" t="s">
        <v>1430</v>
      </c>
      <c r="J75" s="46" t="s">
        <v>1431</v>
      </c>
      <c r="K75" s="46" t="s">
        <v>1432</v>
      </c>
      <c r="L75" s="46" t="s">
        <v>1433</v>
      </c>
      <c r="M75" s="46" t="s">
        <v>1434</v>
      </c>
      <c r="N75" s="46" t="s">
        <v>1435</v>
      </c>
      <c r="O75" s="46" t="s">
        <v>1436</v>
      </c>
    </row>
    <row r="76" spans="2:15">
      <c r="B76" s="46" t="s">
        <v>68</v>
      </c>
      <c r="C76" s="46" t="s">
        <v>4789</v>
      </c>
      <c r="D76" s="46" t="s">
        <v>3058</v>
      </c>
      <c r="H76" s="46" t="s">
        <v>1095</v>
      </c>
      <c r="I76" s="46" t="s">
        <v>1437</v>
      </c>
      <c r="J76" s="46" t="s">
        <v>1438</v>
      </c>
      <c r="K76" s="46" t="s">
        <v>1439</v>
      </c>
      <c r="L76" s="46" t="s">
        <v>1440</v>
      </c>
      <c r="M76" s="46" t="s">
        <v>1441</v>
      </c>
      <c r="N76" s="46" t="s">
        <v>1442</v>
      </c>
      <c r="O76" s="46" t="s">
        <v>1443</v>
      </c>
    </row>
    <row r="77" spans="2:15">
      <c r="B77" s="46" t="s">
        <v>69</v>
      </c>
      <c r="C77" s="46" t="s">
        <v>4790</v>
      </c>
      <c r="D77" s="46" t="s">
        <v>3068</v>
      </c>
      <c r="H77" s="46" t="s">
        <v>1095</v>
      </c>
      <c r="I77" s="46" t="s">
        <v>1444</v>
      </c>
      <c r="J77" s="46" t="s">
        <v>1445</v>
      </c>
      <c r="K77" s="46" t="s">
        <v>1446</v>
      </c>
      <c r="L77" s="46" t="s">
        <v>1447</v>
      </c>
      <c r="M77" s="46" t="s">
        <v>1448</v>
      </c>
      <c r="N77" s="46" t="s">
        <v>1449</v>
      </c>
      <c r="O77" s="46" t="s">
        <v>1450</v>
      </c>
    </row>
    <row r="78" spans="2:15">
      <c r="B78" s="46" t="s">
        <v>70</v>
      </c>
      <c r="C78" s="46" t="s">
        <v>4791</v>
      </c>
      <c r="D78" s="46" t="s">
        <v>3078</v>
      </c>
      <c r="H78" s="46" t="s">
        <v>1095</v>
      </c>
      <c r="I78" s="46" t="s">
        <v>1451</v>
      </c>
      <c r="J78" s="46" t="s">
        <v>1452</v>
      </c>
      <c r="K78" s="46" t="s">
        <v>1453</v>
      </c>
      <c r="L78" s="46" t="s">
        <v>1454</v>
      </c>
      <c r="M78" s="46" t="s">
        <v>1455</v>
      </c>
      <c r="N78" s="46" t="s">
        <v>1456</v>
      </c>
      <c r="O78" s="46" t="s">
        <v>1457</v>
      </c>
    </row>
    <row r="79" spans="2:15">
      <c r="B79" s="46" t="s">
        <v>71</v>
      </c>
      <c r="C79" s="46" t="s">
        <v>4792</v>
      </c>
      <c r="D79" s="46" t="s">
        <v>3088</v>
      </c>
      <c r="H79" s="46" t="s">
        <v>1095</v>
      </c>
      <c r="I79" s="46" t="s">
        <v>1458</v>
      </c>
      <c r="J79" s="46" t="s">
        <v>1459</v>
      </c>
      <c r="K79" s="46" t="s">
        <v>1460</v>
      </c>
      <c r="L79" s="46" t="s">
        <v>1461</v>
      </c>
      <c r="M79" s="46" t="s">
        <v>1462</v>
      </c>
      <c r="N79" s="46" t="s">
        <v>1463</v>
      </c>
      <c r="O79" s="46" t="s">
        <v>1464</v>
      </c>
    </row>
    <row r="80" spans="2:15">
      <c r="B80" s="46" t="s">
        <v>72</v>
      </c>
      <c r="C80" s="46" t="s">
        <v>4793</v>
      </c>
      <c r="D80" s="46" t="s">
        <v>3098</v>
      </c>
      <c r="H80" s="46" t="s">
        <v>1095</v>
      </c>
      <c r="I80" s="46" t="s">
        <v>1465</v>
      </c>
      <c r="J80" s="46" t="s">
        <v>1466</v>
      </c>
      <c r="K80" s="46" t="s">
        <v>1467</v>
      </c>
      <c r="L80" s="46" t="s">
        <v>1468</v>
      </c>
      <c r="M80" s="46" t="s">
        <v>1469</v>
      </c>
      <c r="N80" s="46" t="s">
        <v>1470</v>
      </c>
      <c r="O80" s="46" t="s">
        <v>1471</v>
      </c>
    </row>
    <row r="81" spans="2:15">
      <c r="B81" s="46" t="s">
        <v>73</v>
      </c>
      <c r="C81" s="46" t="s">
        <v>4794</v>
      </c>
      <c r="D81" s="46" t="s">
        <v>3108</v>
      </c>
      <c r="H81" s="46" t="s">
        <v>1095</v>
      </c>
      <c r="I81" s="46" t="s">
        <v>1472</v>
      </c>
      <c r="J81" s="46" t="s">
        <v>1473</v>
      </c>
      <c r="K81" s="46" t="s">
        <v>1474</v>
      </c>
      <c r="L81" s="46" t="s">
        <v>1475</v>
      </c>
      <c r="M81" s="46" t="s">
        <v>1476</v>
      </c>
      <c r="N81" s="46" t="s">
        <v>1477</v>
      </c>
      <c r="O81" s="46" t="s">
        <v>1478</v>
      </c>
    </row>
    <row r="82" spans="2:15">
      <c r="B82" s="46" t="s">
        <v>74</v>
      </c>
      <c r="C82" s="46" t="s">
        <v>4795</v>
      </c>
      <c r="D82" s="46" t="s">
        <v>3118</v>
      </c>
      <c r="H82" s="46" t="s">
        <v>1095</v>
      </c>
      <c r="I82" s="46" t="s">
        <v>1479</v>
      </c>
      <c r="J82" s="46" t="s">
        <v>1480</v>
      </c>
      <c r="K82" s="46" t="s">
        <v>1481</v>
      </c>
      <c r="L82" s="46" t="s">
        <v>1482</v>
      </c>
      <c r="M82" s="46" t="s">
        <v>1483</v>
      </c>
      <c r="N82" s="46" t="s">
        <v>1484</v>
      </c>
      <c r="O82" s="46" t="s">
        <v>1485</v>
      </c>
    </row>
    <row r="83" spans="2:15">
      <c r="B83" s="46" t="s">
        <v>75</v>
      </c>
      <c r="C83" s="46" t="s">
        <v>4796</v>
      </c>
      <c r="D83" s="46" t="s">
        <v>3128</v>
      </c>
      <c r="H83" s="46" t="s">
        <v>1095</v>
      </c>
      <c r="I83" s="46" t="s">
        <v>1486</v>
      </c>
      <c r="J83" s="46" t="s">
        <v>1487</v>
      </c>
      <c r="K83" s="46" t="s">
        <v>1488</v>
      </c>
      <c r="L83" s="46" t="s">
        <v>1489</v>
      </c>
      <c r="M83" s="46" t="s">
        <v>1490</v>
      </c>
      <c r="N83" s="46" t="s">
        <v>1491</v>
      </c>
      <c r="O83" s="46" t="s">
        <v>1492</v>
      </c>
    </row>
    <row r="84" spans="2:15">
      <c r="B84" s="46" t="s">
        <v>76</v>
      </c>
      <c r="C84" s="46" t="s">
        <v>4797</v>
      </c>
      <c r="D84" s="46" t="s">
        <v>3138</v>
      </c>
      <c r="H84" s="46" t="s">
        <v>1095</v>
      </c>
      <c r="I84" s="46" t="s">
        <v>1493</v>
      </c>
      <c r="J84" s="46" t="s">
        <v>1494</v>
      </c>
      <c r="K84" s="46" t="s">
        <v>1495</v>
      </c>
      <c r="L84" s="46" t="s">
        <v>1496</v>
      </c>
      <c r="M84" s="46" t="s">
        <v>1497</v>
      </c>
      <c r="N84" s="46" t="s">
        <v>1498</v>
      </c>
      <c r="O84" s="46" t="s">
        <v>1499</v>
      </c>
    </row>
    <row r="85" spans="2:15">
      <c r="B85" s="46" t="s">
        <v>77</v>
      </c>
      <c r="C85" s="46" t="s">
        <v>4798</v>
      </c>
      <c r="D85" s="46" t="s">
        <v>3148</v>
      </c>
      <c r="H85" s="46" t="s">
        <v>1095</v>
      </c>
      <c r="I85" s="46" t="s">
        <v>1500</v>
      </c>
      <c r="J85" s="46" t="s">
        <v>1501</v>
      </c>
      <c r="K85" s="46" t="s">
        <v>1502</v>
      </c>
      <c r="L85" s="46" t="s">
        <v>1503</v>
      </c>
      <c r="M85" s="46" t="s">
        <v>1504</v>
      </c>
      <c r="N85" s="46" t="s">
        <v>1505</v>
      </c>
      <c r="O85" s="46" t="s">
        <v>1506</v>
      </c>
    </row>
    <row r="86" spans="2:15">
      <c r="B86" s="46" t="s">
        <v>78</v>
      </c>
      <c r="C86" s="46" t="s">
        <v>4799</v>
      </c>
      <c r="D86" s="46" t="s">
        <v>3158</v>
      </c>
      <c r="H86" s="46" t="s">
        <v>1095</v>
      </c>
      <c r="I86" s="46" t="s">
        <v>1507</v>
      </c>
      <c r="J86" s="46" t="s">
        <v>1508</v>
      </c>
      <c r="K86" s="46" t="s">
        <v>1509</v>
      </c>
      <c r="L86" s="46" t="s">
        <v>1510</v>
      </c>
      <c r="M86" s="46" t="s">
        <v>1511</v>
      </c>
      <c r="N86" s="46" t="s">
        <v>1512</v>
      </c>
      <c r="O86" s="46" t="s">
        <v>1513</v>
      </c>
    </row>
    <row r="87" spans="2:15">
      <c r="B87" s="46" t="s">
        <v>79</v>
      </c>
      <c r="C87" s="46" t="s">
        <v>4800</v>
      </c>
      <c r="D87" s="46" t="s">
        <v>3168</v>
      </c>
      <c r="H87" s="46" t="s">
        <v>1095</v>
      </c>
      <c r="I87" s="46" t="s">
        <v>1514</v>
      </c>
      <c r="J87" s="46" t="s">
        <v>1515</v>
      </c>
      <c r="K87" s="46" t="s">
        <v>1516</v>
      </c>
      <c r="L87" s="46" t="s">
        <v>1517</v>
      </c>
      <c r="M87" s="46" t="s">
        <v>1518</v>
      </c>
      <c r="N87" s="46" t="s">
        <v>1519</v>
      </c>
      <c r="O87" s="46" t="s">
        <v>1520</v>
      </c>
    </row>
    <row r="88" spans="2:15">
      <c r="B88" s="46" t="s">
        <v>80</v>
      </c>
      <c r="C88" s="46" t="s">
        <v>4801</v>
      </c>
      <c r="D88" s="46" t="s">
        <v>3178</v>
      </c>
      <c r="H88" s="46" t="s">
        <v>1095</v>
      </c>
      <c r="I88" s="46" t="s">
        <v>1521</v>
      </c>
      <c r="J88" s="46" t="s">
        <v>1522</v>
      </c>
      <c r="K88" s="46" t="s">
        <v>1523</v>
      </c>
      <c r="L88" s="46" t="s">
        <v>1524</v>
      </c>
      <c r="M88" s="46" t="s">
        <v>1525</v>
      </c>
      <c r="N88" s="46" t="s">
        <v>1526</v>
      </c>
      <c r="O88" s="46" t="s">
        <v>1527</v>
      </c>
    </row>
    <row r="89" spans="2:15">
      <c r="B89" s="46" t="s">
        <v>81</v>
      </c>
      <c r="C89" s="46" t="s">
        <v>4802</v>
      </c>
      <c r="D89" s="46" t="s">
        <v>3188</v>
      </c>
      <c r="H89" s="46" t="s">
        <v>1095</v>
      </c>
      <c r="I89" s="46" t="s">
        <v>1528</v>
      </c>
      <c r="J89" s="46" t="s">
        <v>1529</v>
      </c>
      <c r="K89" s="46" t="s">
        <v>1530</v>
      </c>
      <c r="L89" s="46" t="s">
        <v>1531</v>
      </c>
      <c r="M89" s="46" t="s">
        <v>1532</v>
      </c>
      <c r="N89" s="46" t="s">
        <v>1533</v>
      </c>
      <c r="O89" s="46" t="s">
        <v>1534</v>
      </c>
    </row>
    <row r="90" spans="2:15">
      <c r="B90" s="46" t="s">
        <v>82</v>
      </c>
      <c r="C90" s="46" t="s">
        <v>4803</v>
      </c>
      <c r="D90" s="46" t="s">
        <v>3198</v>
      </c>
      <c r="H90" s="46" t="s">
        <v>1095</v>
      </c>
      <c r="I90" s="46" t="s">
        <v>1535</v>
      </c>
      <c r="J90" s="46" t="s">
        <v>1536</v>
      </c>
      <c r="K90" s="46" t="s">
        <v>1537</v>
      </c>
      <c r="L90" s="46" t="s">
        <v>1538</v>
      </c>
      <c r="M90" s="46" t="s">
        <v>1539</v>
      </c>
      <c r="N90" s="46" t="s">
        <v>1540</v>
      </c>
      <c r="O90" s="46" t="s">
        <v>1541</v>
      </c>
    </row>
    <row r="91" spans="2:15">
      <c r="B91" s="46" t="s">
        <v>83</v>
      </c>
      <c r="C91" s="46" t="s">
        <v>4804</v>
      </c>
      <c r="D91" s="46" t="s">
        <v>3208</v>
      </c>
      <c r="H91" s="46" t="s">
        <v>1095</v>
      </c>
      <c r="I91" s="46" t="s">
        <v>1542</v>
      </c>
      <c r="J91" s="46" t="s">
        <v>1543</v>
      </c>
      <c r="K91" s="46" t="s">
        <v>1544</v>
      </c>
      <c r="L91" s="46" t="s">
        <v>1545</v>
      </c>
      <c r="M91" s="46" t="s">
        <v>1546</v>
      </c>
      <c r="N91" s="46" t="s">
        <v>1547</v>
      </c>
      <c r="O91" s="46" t="s">
        <v>1548</v>
      </c>
    </row>
    <row r="92" spans="2:15">
      <c r="B92" s="46" t="s">
        <v>84</v>
      </c>
      <c r="C92" s="46" t="s">
        <v>4805</v>
      </c>
      <c r="D92" s="46" t="s">
        <v>3218</v>
      </c>
      <c r="H92" s="46" t="s">
        <v>1095</v>
      </c>
      <c r="I92" s="46" t="s">
        <v>1549</v>
      </c>
      <c r="J92" s="46" t="s">
        <v>1550</v>
      </c>
      <c r="K92" s="46" t="s">
        <v>1551</v>
      </c>
      <c r="L92" s="46" t="s">
        <v>1552</v>
      </c>
      <c r="M92" s="46" t="s">
        <v>1553</v>
      </c>
      <c r="N92" s="46" t="s">
        <v>1554</v>
      </c>
      <c r="O92" s="46" t="s">
        <v>1555</v>
      </c>
    </row>
    <row r="93" spans="2:15">
      <c r="B93" s="46" t="s">
        <v>85</v>
      </c>
      <c r="C93" s="46" t="s">
        <v>4806</v>
      </c>
      <c r="D93" s="46" t="s">
        <v>3228</v>
      </c>
      <c r="H93" s="46" t="s">
        <v>1095</v>
      </c>
      <c r="I93" s="46" t="s">
        <v>1556</v>
      </c>
      <c r="J93" s="46" t="s">
        <v>1557</v>
      </c>
      <c r="K93" s="46" t="s">
        <v>1558</v>
      </c>
      <c r="L93" s="46" t="s">
        <v>1559</v>
      </c>
      <c r="M93" s="46" t="s">
        <v>1560</v>
      </c>
      <c r="N93" s="46" t="s">
        <v>1561</v>
      </c>
      <c r="O93" s="46" t="s">
        <v>1562</v>
      </c>
    </row>
    <row r="94" spans="2:15">
      <c r="B94" s="46" t="s">
        <v>86</v>
      </c>
      <c r="C94" s="46" t="s">
        <v>4807</v>
      </c>
      <c r="D94" s="46" t="s">
        <v>3238</v>
      </c>
      <c r="H94" s="46" t="s">
        <v>1095</v>
      </c>
      <c r="I94" s="46" t="s">
        <v>1563</v>
      </c>
      <c r="J94" s="46" t="s">
        <v>1564</v>
      </c>
      <c r="K94" s="46" t="s">
        <v>1565</v>
      </c>
      <c r="L94" s="46" t="s">
        <v>1566</v>
      </c>
      <c r="M94" s="46" t="s">
        <v>1567</v>
      </c>
      <c r="N94" s="46" t="s">
        <v>1568</v>
      </c>
      <c r="O94" s="46" t="s">
        <v>1569</v>
      </c>
    </row>
    <row r="95" spans="2:15">
      <c r="B95" s="46" t="s">
        <v>87</v>
      </c>
      <c r="C95" s="46" t="s">
        <v>4808</v>
      </c>
      <c r="D95" s="46" t="s">
        <v>3248</v>
      </c>
      <c r="H95" s="46" t="s">
        <v>1095</v>
      </c>
      <c r="I95" s="46" t="s">
        <v>1570</v>
      </c>
      <c r="J95" s="46" t="s">
        <v>1571</v>
      </c>
      <c r="K95" s="46" t="s">
        <v>1572</v>
      </c>
      <c r="L95" s="46" t="s">
        <v>1573</v>
      </c>
      <c r="M95" s="46" t="s">
        <v>1574</v>
      </c>
      <c r="N95" s="46" t="s">
        <v>1575</v>
      </c>
      <c r="O95" s="46" t="s">
        <v>1576</v>
      </c>
    </row>
    <row r="96" spans="2:15">
      <c r="B96" s="46" t="s">
        <v>88</v>
      </c>
      <c r="C96" s="46" t="s">
        <v>4809</v>
      </c>
      <c r="D96" s="46" t="s">
        <v>3258</v>
      </c>
      <c r="H96" s="46" t="s">
        <v>1095</v>
      </c>
      <c r="I96" s="46" t="s">
        <v>1577</v>
      </c>
      <c r="J96" s="46" t="s">
        <v>1578</v>
      </c>
      <c r="K96" s="46" t="s">
        <v>1579</v>
      </c>
      <c r="L96" s="46" t="s">
        <v>1580</v>
      </c>
      <c r="M96" s="46" t="s">
        <v>1581</v>
      </c>
      <c r="N96" s="46" t="s">
        <v>1582</v>
      </c>
      <c r="O96" s="46" t="s">
        <v>1583</v>
      </c>
    </row>
    <row r="97" spans="2:15">
      <c r="B97" s="46" t="s">
        <v>89</v>
      </c>
      <c r="C97" s="46" t="s">
        <v>4810</v>
      </c>
      <c r="D97" s="46" t="s">
        <v>3268</v>
      </c>
      <c r="H97" s="46" t="s">
        <v>1095</v>
      </c>
      <c r="I97" s="46" t="s">
        <v>1584</v>
      </c>
      <c r="J97" s="46" t="s">
        <v>1585</v>
      </c>
      <c r="K97" s="46" t="s">
        <v>1586</v>
      </c>
      <c r="L97" s="46" t="s">
        <v>1587</v>
      </c>
      <c r="M97" s="46" t="s">
        <v>1588</v>
      </c>
      <c r="N97" s="46" t="s">
        <v>1589</v>
      </c>
      <c r="O97" s="46" t="s">
        <v>1590</v>
      </c>
    </row>
    <row r="98" spans="2:15">
      <c r="B98" s="46" t="s">
        <v>90</v>
      </c>
      <c r="C98" s="46" t="s">
        <v>4811</v>
      </c>
      <c r="D98" s="46" t="s">
        <v>3278</v>
      </c>
      <c r="H98" s="46" t="s">
        <v>1095</v>
      </c>
      <c r="I98" s="46" t="s">
        <v>1591</v>
      </c>
      <c r="J98" s="46" t="s">
        <v>1592</v>
      </c>
      <c r="K98" s="46" t="s">
        <v>1593</v>
      </c>
      <c r="L98" s="46" t="s">
        <v>1594</v>
      </c>
      <c r="M98" s="46" t="s">
        <v>1595</v>
      </c>
      <c r="N98" s="46" t="s">
        <v>1596</v>
      </c>
      <c r="O98" s="46" t="s">
        <v>1597</v>
      </c>
    </row>
    <row r="99" spans="2:15">
      <c r="B99" s="46" t="s">
        <v>91</v>
      </c>
      <c r="C99" s="46" t="s">
        <v>4812</v>
      </c>
      <c r="D99" s="46" t="s">
        <v>3288</v>
      </c>
      <c r="H99" s="46" t="s">
        <v>1095</v>
      </c>
      <c r="I99" s="46" t="s">
        <v>1598</v>
      </c>
      <c r="J99" s="46" t="s">
        <v>1599</v>
      </c>
      <c r="K99" s="46" t="s">
        <v>1600</v>
      </c>
      <c r="L99" s="46" t="s">
        <v>1601</v>
      </c>
      <c r="M99" s="46" t="s">
        <v>1602</v>
      </c>
      <c r="N99" s="46" t="s">
        <v>1603</v>
      </c>
      <c r="O99" s="46" t="s">
        <v>1604</v>
      </c>
    </row>
    <row r="100" spans="2:15">
      <c r="B100" s="46" t="s">
        <v>92</v>
      </c>
      <c r="C100" s="46" t="s">
        <v>4813</v>
      </c>
      <c r="D100" s="46" t="s">
        <v>3298</v>
      </c>
      <c r="H100" s="46" t="s">
        <v>1095</v>
      </c>
      <c r="I100" s="46" t="s">
        <v>1605</v>
      </c>
      <c r="J100" s="46" t="s">
        <v>1606</v>
      </c>
      <c r="K100" s="46" t="s">
        <v>1607</v>
      </c>
      <c r="L100" s="46" t="s">
        <v>1608</v>
      </c>
      <c r="M100" s="46" t="s">
        <v>1609</v>
      </c>
      <c r="N100" s="46" t="s">
        <v>1610</v>
      </c>
      <c r="O100" s="46" t="s">
        <v>1611</v>
      </c>
    </row>
    <row r="101" spans="2:15">
      <c r="B101" s="46" t="s">
        <v>93</v>
      </c>
      <c r="C101" s="46" t="s">
        <v>4814</v>
      </c>
      <c r="D101" s="46" t="s">
        <v>3308</v>
      </c>
      <c r="H101" s="46" t="s">
        <v>1095</v>
      </c>
      <c r="I101" s="46" t="s">
        <v>1612</v>
      </c>
      <c r="J101" s="46" t="s">
        <v>1613</v>
      </c>
      <c r="K101" s="46" t="s">
        <v>1614</v>
      </c>
      <c r="L101" s="46" t="s">
        <v>1615</v>
      </c>
      <c r="M101" s="46" t="s">
        <v>1616</v>
      </c>
      <c r="N101" s="46" t="s">
        <v>1617</v>
      </c>
      <c r="O101" s="46" t="s">
        <v>1618</v>
      </c>
    </row>
    <row r="102" spans="2:15">
      <c r="B102" s="46" t="s">
        <v>94</v>
      </c>
      <c r="C102" s="46" t="s">
        <v>4815</v>
      </c>
      <c r="D102" s="46" t="s">
        <v>3318</v>
      </c>
      <c r="H102" s="46" t="s">
        <v>1095</v>
      </c>
      <c r="I102" s="46" t="s">
        <v>1619</v>
      </c>
      <c r="J102" s="46" t="s">
        <v>1620</v>
      </c>
      <c r="K102" s="46" t="s">
        <v>1621</v>
      </c>
      <c r="L102" s="46" t="s">
        <v>1622</v>
      </c>
      <c r="M102" s="46" t="s">
        <v>1623</v>
      </c>
      <c r="N102" s="46" t="s">
        <v>1624</v>
      </c>
      <c r="O102" s="46" t="s">
        <v>1625</v>
      </c>
    </row>
    <row r="103" spans="2:15">
      <c r="B103" s="46" t="s">
        <v>95</v>
      </c>
      <c r="C103" s="46" t="s">
        <v>4816</v>
      </c>
      <c r="D103" s="46" t="s">
        <v>3328</v>
      </c>
      <c r="H103" s="46" t="s">
        <v>1095</v>
      </c>
      <c r="I103" s="46" t="s">
        <v>1626</v>
      </c>
      <c r="J103" s="46" t="s">
        <v>1627</v>
      </c>
      <c r="K103" s="46" t="s">
        <v>1628</v>
      </c>
      <c r="L103" s="46" t="s">
        <v>1629</v>
      </c>
      <c r="M103" s="46" t="s">
        <v>1630</v>
      </c>
      <c r="N103" s="46" t="s">
        <v>1631</v>
      </c>
      <c r="O103" s="46" t="s">
        <v>1632</v>
      </c>
    </row>
    <row r="104" spans="2:15">
      <c r="B104" s="46" t="s">
        <v>96</v>
      </c>
      <c r="C104" s="46" t="s">
        <v>4817</v>
      </c>
      <c r="D104" s="46" t="s">
        <v>3338</v>
      </c>
      <c r="H104" s="46" t="s">
        <v>1095</v>
      </c>
      <c r="I104" s="46" t="s">
        <v>1633</v>
      </c>
      <c r="J104" s="46" t="s">
        <v>1634</v>
      </c>
      <c r="K104" s="46" t="s">
        <v>1635</v>
      </c>
      <c r="L104" s="46" t="s">
        <v>1636</v>
      </c>
      <c r="M104" s="46" t="s">
        <v>1637</v>
      </c>
      <c r="N104" s="46" t="s">
        <v>1638</v>
      </c>
      <c r="O104" s="46" t="s">
        <v>1639</v>
      </c>
    </row>
    <row r="105" spans="2:15">
      <c r="B105" s="46" t="s">
        <v>97</v>
      </c>
      <c r="C105" s="46" t="s">
        <v>4818</v>
      </c>
      <c r="D105" s="46" t="s">
        <v>3348</v>
      </c>
      <c r="H105" s="46" t="s">
        <v>1095</v>
      </c>
      <c r="I105" s="46" t="s">
        <v>1640</v>
      </c>
      <c r="J105" s="46" t="s">
        <v>1641</v>
      </c>
      <c r="K105" s="46" t="s">
        <v>1642</v>
      </c>
      <c r="L105" s="46" t="s">
        <v>1643</v>
      </c>
      <c r="M105" s="46" t="s">
        <v>1644</v>
      </c>
      <c r="N105" s="46" t="s">
        <v>1645</v>
      </c>
      <c r="O105" s="46" t="s">
        <v>1646</v>
      </c>
    </row>
    <row r="106" spans="2:15">
      <c r="B106" s="46" t="s">
        <v>98</v>
      </c>
      <c r="C106" s="46" t="s">
        <v>4819</v>
      </c>
      <c r="D106" s="46" t="s">
        <v>3358</v>
      </c>
      <c r="H106" s="46" t="s">
        <v>1095</v>
      </c>
      <c r="I106" s="46" t="s">
        <v>1647</v>
      </c>
      <c r="J106" s="46" t="s">
        <v>1648</v>
      </c>
      <c r="K106" s="46" t="s">
        <v>1649</v>
      </c>
      <c r="L106" s="46" t="s">
        <v>1650</v>
      </c>
      <c r="M106" s="46" t="s">
        <v>1651</v>
      </c>
      <c r="N106" s="46" t="s">
        <v>1652</v>
      </c>
      <c r="O106" s="46" t="s">
        <v>1653</v>
      </c>
    </row>
    <row r="107" spans="2:15">
      <c r="B107" s="46" t="s">
        <v>99</v>
      </c>
      <c r="C107" s="46" t="s">
        <v>4820</v>
      </c>
      <c r="D107" s="46" t="s">
        <v>3368</v>
      </c>
      <c r="H107" s="46" t="s">
        <v>1095</v>
      </c>
      <c r="I107" s="46" t="s">
        <v>1654</v>
      </c>
      <c r="J107" s="46" t="s">
        <v>1655</v>
      </c>
      <c r="K107" s="46" t="s">
        <v>1656</v>
      </c>
      <c r="L107" s="46" t="s">
        <v>1657</v>
      </c>
      <c r="M107" s="46" t="s">
        <v>1658</v>
      </c>
      <c r="N107" s="46" t="s">
        <v>1659</v>
      </c>
      <c r="O107" s="46" t="s">
        <v>1660</v>
      </c>
    </row>
    <row r="108" spans="2:15">
      <c r="B108" s="46" t="s">
        <v>100</v>
      </c>
      <c r="C108" s="46" t="s">
        <v>4821</v>
      </c>
      <c r="D108" s="46" t="s">
        <v>3378</v>
      </c>
      <c r="H108" s="46" t="s">
        <v>1095</v>
      </c>
      <c r="I108" s="46" t="s">
        <v>1661</v>
      </c>
      <c r="J108" s="46" t="s">
        <v>1662</v>
      </c>
      <c r="K108" s="46" t="s">
        <v>1663</v>
      </c>
      <c r="L108" s="46" t="s">
        <v>1664</v>
      </c>
      <c r="M108" s="46" t="s">
        <v>1665</v>
      </c>
      <c r="N108" s="46" t="s">
        <v>1666</v>
      </c>
      <c r="O108" s="46" t="s">
        <v>1667</v>
      </c>
    </row>
    <row r="109" spans="2:15">
      <c r="B109" s="46" t="s">
        <v>101</v>
      </c>
      <c r="C109" s="46" t="s">
        <v>4822</v>
      </c>
      <c r="D109" s="46" t="s">
        <v>3388</v>
      </c>
      <c r="H109" s="46" t="s">
        <v>1095</v>
      </c>
      <c r="I109" s="46" t="s">
        <v>1668</v>
      </c>
      <c r="J109" s="46" t="s">
        <v>1669</v>
      </c>
      <c r="K109" s="46" t="s">
        <v>1670</v>
      </c>
      <c r="L109" s="46" t="s">
        <v>1671</v>
      </c>
      <c r="M109" s="46" t="s">
        <v>1672</v>
      </c>
      <c r="N109" s="46" t="s">
        <v>1673</v>
      </c>
      <c r="O109" s="46" t="s">
        <v>1674</v>
      </c>
    </row>
    <row r="110" spans="2:15">
      <c r="B110" s="46" t="s">
        <v>102</v>
      </c>
      <c r="C110" s="46" t="s">
        <v>4823</v>
      </c>
      <c r="D110" s="46" t="s">
        <v>3398</v>
      </c>
      <c r="H110" s="46" t="s">
        <v>1095</v>
      </c>
      <c r="I110" s="46" t="s">
        <v>1675</v>
      </c>
      <c r="J110" s="46" t="s">
        <v>1676</v>
      </c>
      <c r="K110" s="46" t="s">
        <v>1677</v>
      </c>
      <c r="L110" s="46" t="s">
        <v>1678</v>
      </c>
      <c r="M110" s="46" t="s">
        <v>1679</v>
      </c>
      <c r="N110" s="46" t="s">
        <v>1680</v>
      </c>
      <c r="O110" s="46" t="s">
        <v>1681</v>
      </c>
    </row>
    <row r="111" spans="2:15">
      <c r="B111" s="46" t="s">
        <v>103</v>
      </c>
      <c r="C111" s="46" t="s">
        <v>4824</v>
      </c>
      <c r="D111" s="46" t="s">
        <v>3408</v>
      </c>
      <c r="H111" s="46" t="s">
        <v>1095</v>
      </c>
      <c r="I111" s="46" t="s">
        <v>1682</v>
      </c>
      <c r="J111" s="46" t="s">
        <v>1683</v>
      </c>
      <c r="K111" s="46" t="s">
        <v>1684</v>
      </c>
      <c r="L111" s="46" t="s">
        <v>1685</v>
      </c>
      <c r="M111" s="46" t="s">
        <v>1686</v>
      </c>
      <c r="N111" s="46" t="s">
        <v>1687</v>
      </c>
      <c r="O111" s="46" t="s">
        <v>1688</v>
      </c>
    </row>
    <row r="112" spans="2:15">
      <c r="B112" s="46" t="s">
        <v>104</v>
      </c>
      <c r="C112" s="46" t="s">
        <v>4825</v>
      </c>
      <c r="D112" s="46" t="s">
        <v>3418</v>
      </c>
      <c r="H112" s="46" t="s">
        <v>1095</v>
      </c>
      <c r="I112" s="46" t="s">
        <v>1689</v>
      </c>
      <c r="J112" s="46" t="s">
        <v>1690</v>
      </c>
      <c r="K112" s="46" t="s">
        <v>1691</v>
      </c>
      <c r="L112" s="46" t="s">
        <v>1692</v>
      </c>
      <c r="M112" s="46" t="s">
        <v>1693</v>
      </c>
      <c r="N112" s="46" t="s">
        <v>1694</v>
      </c>
      <c r="O112" s="46" t="s">
        <v>1695</v>
      </c>
    </row>
    <row r="113" spans="2:15">
      <c r="B113" s="46" t="s">
        <v>105</v>
      </c>
      <c r="C113" s="46" t="s">
        <v>4826</v>
      </c>
      <c r="D113" s="46" t="s">
        <v>3428</v>
      </c>
      <c r="H113" s="46" t="s">
        <v>1095</v>
      </c>
      <c r="I113" s="46" t="s">
        <v>1696</v>
      </c>
      <c r="J113" s="46" t="s">
        <v>1697</v>
      </c>
      <c r="K113" s="46" t="s">
        <v>1698</v>
      </c>
      <c r="L113" s="46" t="s">
        <v>1699</v>
      </c>
      <c r="M113" s="46" t="s">
        <v>1700</v>
      </c>
      <c r="N113" s="46" t="s">
        <v>1701</v>
      </c>
      <c r="O113" s="46" t="s">
        <v>1702</v>
      </c>
    </row>
    <row r="114" spans="2:15">
      <c r="B114" s="46" t="s">
        <v>106</v>
      </c>
      <c r="C114" s="46" t="s">
        <v>4827</v>
      </c>
      <c r="D114" s="46" t="s">
        <v>3438</v>
      </c>
      <c r="H114" s="46" t="s">
        <v>1095</v>
      </c>
      <c r="I114" s="46" t="s">
        <v>1703</v>
      </c>
      <c r="J114" s="46" t="s">
        <v>1704</v>
      </c>
      <c r="K114" s="46" t="s">
        <v>1705</v>
      </c>
      <c r="L114" s="46" t="s">
        <v>1706</v>
      </c>
      <c r="M114" s="46" t="s">
        <v>1707</v>
      </c>
      <c r="N114" s="46" t="s">
        <v>1708</v>
      </c>
      <c r="O114" s="46" t="s">
        <v>1709</v>
      </c>
    </row>
    <row r="115" spans="2:15">
      <c r="B115" s="46" t="s">
        <v>107</v>
      </c>
      <c r="C115" s="46" t="s">
        <v>4828</v>
      </c>
      <c r="D115" s="46" t="s">
        <v>3448</v>
      </c>
      <c r="H115" s="46" t="s">
        <v>1095</v>
      </c>
      <c r="I115" s="46" t="s">
        <v>1710</v>
      </c>
      <c r="J115" s="46" t="s">
        <v>1711</v>
      </c>
      <c r="K115" s="46" t="s">
        <v>1712</v>
      </c>
      <c r="L115" s="46" t="s">
        <v>1713</v>
      </c>
      <c r="M115" s="46" t="s">
        <v>1714</v>
      </c>
      <c r="N115" s="46" t="s">
        <v>1715</v>
      </c>
      <c r="O115" s="46" t="s">
        <v>1716</v>
      </c>
    </row>
    <row r="116" spans="2:15">
      <c r="B116" s="46" t="s">
        <v>108</v>
      </c>
      <c r="C116" s="46" t="s">
        <v>4829</v>
      </c>
      <c r="D116" s="46" t="s">
        <v>3458</v>
      </c>
      <c r="E116" s="46" t="s">
        <v>109</v>
      </c>
      <c r="F116" s="46" t="s">
        <v>4830</v>
      </c>
      <c r="G116" s="46" t="s">
        <v>4831</v>
      </c>
      <c r="H116" s="46" t="s">
        <v>1717</v>
      </c>
      <c r="I116" s="46" t="s">
        <v>1718</v>
      </c>
      <c r="J116" s="46" t="s">
        <v>1719</v>
      </c>
      <c r="K116" s="46" t="s">
        <v>1720</v>
      </c>
      <c r="L116" s="46" t="s">
        <v>1721</v>
      </c>
      <c r="M116" s="46" t="s">
        <v>1722</v>
      </c>
      <c r="N116" s="46" t="s">
        <v>1723</v>
      </c>
      <c r="O116" s="46" t="s">
        <v>1724</v>
      </c>
    </row>
    <row r="117" spans="2:15">
      <c r="B117" s="46" t="s">
        <v>108</v>
      </c>
      <c r="C117" s="46" t="s">
        <v>4832</v>
      </c>
      <c r="D117" s="46" t="s">
        <v>3468</v>
      </c>
      <c r="E117" s="46" t="s">
        <v>110</v>
      </c>
      <c r="F117" s="46" t="s">
        <v>4833</v>
      </c>
      <c r="G117" s="46" t="s">
        <v>4834</v>
      </c>
      <c r="H117" s="46" t="s">
        <v>1725</v>
      </c>
      <c r="I117" s="46" t="s">
        <v>1726</v>
      </c>
      <c r="J117" s="46" t="s">
        <v>1727</v>
      </c>
      <c r="K117" s="46" t="s">
        <v>1728</v>
      </c>
      <c r="L117" s="46" t="s">
        <v>1729</v>
      </c>
      <c r="M117" s="46" t="s">
        <v>1730</v>
      </c>
      <c r="N117" s="46" t="s">
        <v>1731</v>
      </c>
      <c r="O117" s="46" t="s">
        <v>1732</v>
      </c>
    </row>
    <row r="118" spans="2:15">
      <c r="B118" s="46" t="s">
        <v>108</v>
      </c>
      <c r="C118" s="46" t="s">
        <v>4835</v>
      </c>
      <c r="D118" s="46" t="s">
        <v>3478</v>
      </c>
      <c r="O118" s="46" t="s">
        <v>1733</v>
      </c>
    </row>
    <row r="119" spans="2:15">
      <c r="B119" s="46" t="s">
        <v>111</v>
      </c>
      <c r="C119" s="46" t="s">
        <v>4836</v>
      </c>
      <c r="D119" s="46" t="s">
        <v>3488</v>
      </c>
      <c r="H119" s="46" t="s">
        <v>1095</v>
      </c>
      <c r="I119" s="46" t="s">
        <v>1734</v>
      </c>
      <c r="J119" s="46" t="s">
        <v>1735</v>
      </c>
      <c r="K119" s="46" t="s">
        <v>1736</v>
      </c>
      <c r="L119" s="46" t="s">
        <v>1737</v>
      </c>
      <c r="M119" s="46" t="s">
        <v>1738</v>
      </c>
      <c r="N119" s="46" t="s">
        <v>1739</v>
      </c>
      <c r="O119" s="46" t="s">
        <v>1740</v>
      </c>
    </row>
    <row r="120" spans="2:15">
      <c r="B120" s="46" t="s">
        <v>112</v>
      </c>
      <c r="C120" s="46" t="s">
        <v>4837</v>
      </c>
      <c r="D120" s="46" t="s">
        <v>3498</v>
      </c>
      <c r="H120" s="46" t="s">
        <v>1095</v>
      </c>
      <c r="I120" s="46" t="s">
        <v>1741</v>
      </c>
      <c r="J120" s="46" t="s">
        <v>1742</v>
      </c>
      <c r="K120" s="46" t="s">
        <v>1743</v>
      </c>
      <c r="L120" s="46" t="s">
        <v>1744</v>
      </c>
      <c r="M120" s="46" t="s">
        <v>1745</v>
      </c>
      <c r="N120" s="46" t="s">
        <v>1746</v>
      </c>
      <c r="O120" s="46" t="s">
        <v>1747</v>
      </c>
    </row>
    <row r="121" spans="2:15">
      <c r="B121" s="46" t="s">
        <v>113</v>
      </c>
      <c r="C121" s="46" t="s">
        <v>4838</v>
      </c>
      <c r="D121" s="46" t="s">
        <v>3508</v>
      </c>
      <c r="H121" s="46" t="s">
        <v>1095</v>
      </c>
      <c r="I121" s="46" t="s">
        <v>1748</v>
      </c>
      <c r="J121" s="46" t="s">
        <v>1749</v>
      </c>
      <c r="K121" s="46" t="s">
        <v>1750</v>
      </c>
      <c r="L121" s="46" t="s">
        <v>1751</v>
      </c>
      <c r="M121" s="46" t="s">
        <v>1752</v>
      </c>
      <c r="N121" s="46" t="s">
        <v>1753</v>
      </c>
      <c r="O121" s="46" t="s">
        <v>1754</v>
      </c>
    </row>
    <row r="122" spans="2:15">
      <c r="B122" s="46" t="s">
        <v>114</v>
      </c>
      <c r="C122" s="46" t="s">
        <v>4839</v>
      </c>
      <c r="D122" s="46" t="s">
        <v>3518</v>
      </c>
      <c r="H122" s="46" t="s">
        <v>1095</v>
      </c>
      <c r="I122" s="46" t="s">
        <v>1755</v>
      </c>
      <c r="J122" s="46" t="s">
        <v>1756</v>
      </c>
      <c r="K122" s="46" t="s">
        <v>1757</v>
      </c>
      <c r="L122" s="46" t="s">
        <v>1758</v>
      </c>
      <c r="M122" s="46" t="s">
        <v>1759</v>
      </c>
      <c r="N122" s="46" t="s">
        <v>1760</v>
      </c>
      <c r="O122" s="46" t="s">
        <v>1761</v>
      </c>
    </row>
    <row r="123" spans="2:15">
      <c r="B123" s="46" t="s">
        <v>115</v>
      </c>
      <c r="C123" s="46" t="s">
        <v>4840</v>
      </c>
      <c r="D123" s="46" t="s">
        <v>3528</v>
      </c>
      <c r="H123" s="46" t="s">
        <v>1095</v>
      </c>
      <c r="I123" s="46" t="s">
        <v>1762</v>
      </c>
      <c r="J123" s="46" t="s">
        <v>1763</v>
      </c>
      <c r="K123" s="46" t="s">
        <v>1764</v>
      </c>
      <c r="L123" s="46" t="s">
        <v>1765</v>
      </c>
      <c r="M123" s="46" t="s">
        <v>1766</v>
      </c>
      <c r="N123" s="46" t="s">
        <v>1767</v>
      </c>
      <c r="O123" s="46" t="s">
        <v>1768</v>
      </c>
    </row>
    <row r="124" spans="2:15">
      <c r="B124" s="46" t="s">
        <v>116</v>
      </c>
      <c r="C124" s="46" t="s">
        <v>4841</v>
      </c>
      <c r="D124" s="46" t="s">
        <v>3538</v>
      </c>
      <c r="H124" s="46" t="s">
        <v>1095</v>
      </c>
      <c r="I124" s="46" t="s">
        <v>1769</v>
      </c>
      <c r="J124" s="46" t="s">
        <v>1770</v>
      </c>
      <c r="K124" s="46" t="s">
        <v>1771</v>
      </c>
      <c r="L124" s="46" t="s">
        <v>1772</v>
      </c>
      <c r="M124" s="46" t="s">
        <v>1773</v>
      </c>
      <c r="N124" s="46" t="s">
        <v>1774</v>
      </c>
      <c r="O124" s="46" t="s">
        <v>1775</v>
      </c>
    </row>
    <row r="125" spans="2:15">
      <c r="B125" s="46" t="s">
        <v>117</v>
      </c>
      <c r="C125" s="46" t="s">
        <v>4842</v>
      </c>
      <c r="D125" s="46" t="s">
        <v>3548</v>
      </c>
      <c r="H125" s="46" t="s">
        <v>1095</v>
      </c>
      <c r="I125" s="46" t="s">
        <v>1776</v>
      </c>
      <c r="J125" s="46" t="s">
        <v>1777</v>
      </c>
      <c r="K125" s="46" t="s">
        <v>1778</v>
      </c>
      <c r="L125" s="46" t="s">
        <v>1779</v>
      </c>
      <c r="M125" s="46" t="s">
        <v>1780</v>
      </c>
      <c r="N125" s="46" t="s">
        <v>1781</v>
      </c>
      <c r="O125" s="46" t="s">
        <v>1782</v>
      </c>
    </row>
    <row r="126" spans="2:15">
      <c r="B126" s="46" t="s">
        <v>118</v>
      </c>
      <c r="C126" s="46" t="s">
        <v>4843</v>
      </c>
      <c r="D126" s="46" t="s">
        <v>3558</v>
      </c>
      <c r="H126" s="46" t="s">
        <v>1095</v>
      </c>
      <c r="I126" s="46" t="s">
        <v>1783</v>
      </c>
      <c r="J126" s="46" t="s">
        <v>1784</v>
      </c>
      <c r="K126" s="46" t="s">
        <v>1785</v>
      </c>
      <c r="L126" s="46" t="s">
        <v>1786</v>
      </c>
      <c r="M126" s="46" t="s">
        <v>1787</v>
      </c>
      <c r="N126" s="46" t="s">
        <v>1788</v>
      </c>
      <c r="O126" s="46" t="s">
        <v>1789</v>
      </c>
    </row>
    <row r="127" spans="2:15">
      <c r="B127" s="46" t="s">
        <v>119</v>
      </c>
      <c r="C127" s="46" t="s">
        <v>4844</v>
      </c>
      <c r="D127" s="46" t="s">
        <v>3568</v>
      </c>
      <c r="H127" s="46" t="s">
        <v>1095</v>
      </c>
      <c r="I127" s="46" t="s">
        <v>1790</v>
      </c>
      <c r="J127" s="46" t="s">
        <v>1791</v>
      </c>
      <c r="K127" s="46" t="s">
        <v>1792</v>
      </c>
      <c r="L127" s="46" t="s">
        <v>1793</v>
      </c>
      <c r="M127" s="46" t="s">
        <v>1794</v>
      </c>
      <c r="N127" s="46" t="s">
        <v>1795</v>
      </c>
      <c r="O127" s="46" t="s">
        <v>1796</v>
      </c>
    </row>
    <row r="128" spans="2:15">
      <c r="B128" s="46" t="s">
        <v>120</v>
      </c>
      <c r="C128" s="46" t="s">
        <v>4845</v>
      </c>
      <c r="D128" s="46" t="s">
        <v>3578</v>
      </c>
      <c r="H128" s="46" t="s">
        <v>1095</v>
      </c>
      <c r="I128" s="46" t="s">
        <v>1797</v>
      </c>
      <c r="J128" s="46" t="s">
        <v>1798</v>
      </c>
      <c r="K128" s="46" t="s">
        <v>1799</v>
      </c>
      <c r="L128" s="46" t="s">
        <v>1800</v>
      </c>
      <c r="M128" s="46" t="s">
        <v>1801</v>
      </c>
      <c r="N128" s="46" t="s">
        <v>1802</v>
      </c>
      <c r="O128" s="46" t="s">
        <v>1803</v>
      </c>
    </row>
    <row r="129" spans="2:15">
      <c r="B129" s="46" t="s">
        <v>121</v>
      </c>
      <c r="C129" s="46" t="s">
        <v>4846</v>
      </c>
      <c r="D129" s="46" t="s">
        <v>3588</v>
      </c>
      <c r="H129" s="46" t="s">
        <v>1095</v>
      </c>
      <c r="I129" s="46" t="s">
        <v>1804</v>
      </c>
      <c r="J129" s="46" t="s">
        <v>1805</v>
      </c>
      <c r="K129" s="46" t="s">
        <v>1806</v>
      </c>
      <c r="L129" s="46" t="s">
        <v>1807</v>
      </c>
      <c r="M129" s="46" t="s">
        <v>1808</v>
      </c>
      <c r="N129" s="46" t="s">
        <v>1809</v>
      </c>
      <c r="O129" s="46" t="s">
        <v>1810</v>
      </c>
    </row>
    <row r="130" spans="2:15">
      <c r="B130" s="46" t="s">
        <v>122</v>
      </c>
      <c r="C130" s="46" t="s">
        <v>4847</v>
      </c>
      <c r="D130" s="46" t="s">
        <v>3598</v>
      </c>
      <c r="H130" s="46" t="s">
        <v>1095</v>
      </c>
      <c r="I130" s="46" t="s">
        <v>1811</v>
      </c>
      <c r="J130" s="46" t="s">
        <v>1812</v>
      </c>
      <c r="K130" s="46" t="s">
        <v>1813</v>
      </c>
      <c r="L130" s="46" t="s">
        <v>1814</v>
      </c>
      <c r="M130" s="46" t="s">
        <v>1815</v>
      </c>
      <c r="N130" s="46" t="s">
        <v>1816</v>
      </c>
      <c r="O130" s="46" t="s">
        <v>1817</v>
      </c>
    </row>
    <row r="131" spans="2:15">
      <c r="B131" s="46" t="s">
        <v>123</v>
      </c>
      <c r="C131" s="46" t="s">
        <v>4848</v>
      </c>
      <c r="D131" s="46" t="s">
        <v>3608</v>
      </c>
      <c r="H131" s="46" t="s">
        <v>1095</v>
      </c>
      <c r="I131" s="46" t="s">
        <v>1818</v>
      </c>
      <c r="J131" s="46" t="s">
        <v>1819</v>
      </c>
      <c r="K131" s="46" t="s">
        <v>1820</v>
      </c>
      <c r="L131" s="46" t="s">
        <v>1821</v>
      </c>
      <c r="M131" s="46" t="s">
        <v>1822</v>
      </c>
      <c r="N131" s="46" t="s">
        <v>1823</v>
      </c>
      <c r="O131" s="46" t="s">
        <v>1824</v>
      </c>
    </row>
    <row r="132" spans="2:15">
      <c r="B132" s="46" t="s">
        <v>124</v>
      </c>
      <c r="C132" s="46" t="s">
        <v>4849</v>
      </c>
      <c r="D132" s="46" t="s">
        <v>3618</v>
      </c>
      <c r="H132" s="46" t="s">
        <v>1095</v>
      </c>
      <c r="I132" s="46" t="s">
        <v>1825</v>
      </c>
      <c r="J132" s="46" t="s">
        <v>1826</v>
      </c>
      <c r="K132" s="46" t="s">
        <v>1827</v>
      </c>
      <c r="L132" s="46" t="s">
        <v>1828</v>
      </c>
      <c r="M132" s="46" t="s">
        <v>1829</v>
      </c>
      <c r="N132" s="46" t="s">
        <v>1830</v>
      </c>
      <c r="O132" s="46" t="s">
        <v>1831</v>
      </c>
    </row>
    <row r="133" spans="2:15">
      <c r="B133" s="46" t="s">
        <v>125</v>
      </c>
      <c r="C133" s="46" t="s">
        <v>4850</v>
      </c>
      <c r="D133" s="46" t="s">
        <v>3628</v>
      </c>
      <c r="H133" s="46" t="s">
        <v>1095</v>
      </c>
      <c r="I133" s="46" t="s">
        <v>1832</v>
      </c>
      <c r="J133" s="46" t="s">
        <v>1833</v>
      </c>
      <c r="K133" s="46" t="s">
        <v>1834</v>
      </c>
      <c r="L133" s="46" t="s">
        <v>1835</v>
      </c>
      <c r="M133" s="46" t="s">
        <v>1836</v>
      </c>
      <c r="N133" s="46" t="s">
        <v>1837</v>
      </c>
      <c r="O133" s="46" t="s">
        <v>1838</v>
      </c>
    </row>
    <row r="134" spans="2:15">
      <c r="B134" s="46" t="s">
        <v>126</v>
      </c>
      <c r="C134" s="46" t="s">
        <v>4851</v>
      </c>
      <c r="D134" s="46" t="s">
        <v>3638</v>
      </c>
      <c r="H134" s="46" t="s">
        <v>1095</v>
      </c>
      <c r="I134" s="46" t="s">
        <v>1839</v>
      </c>
      <c r="J134" s="46" t="s">
        <v>1840</v>
      </c>
      <c r="K134" s="46" t="s">
        <v>1841</v>
      </c>
      <c r="L134" s="46" t="s">
        <v>1842</v>
      </c>
      <c r="M134" s="46" t="s">
        <v>1843</v>
      </c>
      <c r="N134" s="46" t="s">
        <v>1844</v>
      </c>
      <c r="O134" s="46" t="s">
        <v>1845</v>
      </c>
    </row>
    <row r="135" spans="2:15">
      <c r="B135" s="46" t="s">
        <v>127</v>
      </c>
      <c r="C135" s="46" t="s">
        <v>4852</v>
      </c>
      <c r="D135" s="46" t="s">
        <v>3648</v>
      </c>
      <c r="H135" s="46" t="s">
        <v>1095</v>
      </c>
      <c r="I135" s="46" t="s">
        <v>1846</v>
      </c>
      <c r="J135" s="46" t="s">
        <v>1847</v>
      </c>
      <c r="K135" s="46" t="s">
        <v>1848</v>
      </c>
      <c r="L135" s="46" t="s">
        <v>1849</v>
      </c>
      <c r="M135" s="46" t="s">
        <v>1850</v>
      </c>
      <c r="N135" s="46" t="s">
        <v>1851</v>
      </c>
      <c r="O135" s="46" t="s">
        <v>1852</v>
      </c>
    </row>
    <row r="136" spans="2:15">
      <c r="B136" s="46" t="s">
        <v>128</v>
      </c>
      <c r="C136" s="46" t="s">
        <v>4853</v>
      </c>
      <c r="D136" s="46" t="s">
        <v>3658</v>
      </c>
      <c r="H136" s="46" t="s">
        <v>1095</v>
      </c>
      <c r="I136" s="46" t="s">
        <v>1853</v>
      </c>
      <c r="J136" s="46" t="s">
        <v>1854</v>
      </c>
      <c r="K136" s="46" t="s">
        <v>1855</v>
      </c>
      <c r="L136" s="46" t="s">
        <v>1856</v>
      </c>
      <c r="M136" s="46" t="s">
        <v>1857</v>
      </c>
      <c r="N136" s="46" t="s">
        <v>1858</v>
      </c>
      <c r="O136" s="46" t="s">
        <v>1859</v>
      </c>
    </row>
    <row r="137" spans="2:15">
      <c r="B137" s="46" t="s">
        <v>129</v>
      </c>
      <c r="C137" s="46" t="s">
        <v>4854</v>
      </c>
      <c r="D137" s="46" t="s">
        <v>3668</v>
      </c>
      <c r="H137" s="46" t="s">
        <v>1095</v>
      </c>
      <c r="I137" s="46" t="s">
        <v>1860</v>
      </c>
      <c r="J137" s="46" t="s">
        <v>1861</v>
      </c>
      <c r="K137" s="46" t="s">
        <v>1862</v>
      </c>
      <c r="L137" s="46" t="s">
        <v>1863</v>
      </c>
      <c r="M137" s="46" t="s">
        <v>1864</v>
      </c>
      <c r="N137" s="46" t="s">
        <v>1865</v>
      </c>
      <c r="O137" s="46" t="s">
        <v>1866</v>
      </c>
    </row>
    <row r="138" spans="2:15">
      <c r="B138" s="46" t="s">
        <v>130</v>
      </c>
      <c r="C138" s="46" t="s">
        <v>4855</v>
      </c>
      <c r="D138" s="46" t="s">
        <v>3678</v>
      </c>
      <c r="H138" s="46" t="s">
        <v>1095</v>
      </c>
      <c r="I138" s="46" t="s">
        <v>1867</v>
      </c>
      <c r="J138" s="46" t="s">
        <v>1868</v>
      </c>
      <c r="K138" s="46" t="s">
        <v>1869</v>
      </c>
      <c r="L138" s="46" t="s">
        <v>1870</v>
      </c>
      <c r="M138" s="46" t="s">
        <v>1871</v>
      </c>
      <c r="N138" s="46" t="s">
        <v>1872</v>
      </c>
      <c r="O138" s="46" t="s">
        <v>1873</v>
      </c>
    </row>
    <row r="139" spans="2:15">
      <c r="B139" s="46" t="s">
        <v>131</v>
      </c>
      <c r="C139" s="46" t="s">
        <v>4856</v>
      </c>
      <c r="D139" s="46" t="s">
        <v>3688</v>
      </c>
      <c r="H139" s="46" t="s">
        <v>1095</v>
      </c>
      <c r="I139" s="46" t="s">
        <v>1874</v>
      </c>
      <c r="J139" s="46" t="s">
        <v>1875</v>
      </c>
      <c r="K139" s="46" t="s">
        <v>1876</v>
      </c>
      <c r="L139" s="46" t="s">
        <v>1877</v>
      </c>
      <c r="M139" s="46" t="s">
        <v>1878</v>
      </c>
      <c r="N139" s="46" t="s">
        <v>1879</v>
      </c>
      <c r="O139" s="46" t="s">
        <v>1880</v>
      </c>
    </row>
    <row r="140" spans="2:15">
      <c r="B140" s="46" t="s">
        <v>132</v>
      </c>
      <c r="C140" s="46" t="s">
        <v>4857</v>
      </c>
      <c r="D140" s="46" t="s">
        <v>3698</v>
      </c>
      <c r="H140" s="46" t="s">
        <v>1095</v>
      </c>
      <c r="I140" s="46" t="s">
        <v>1881</v>
      </c>
      <c r="J140" s="46" t="s">
        <v>1882</v>
      </c>
      <c r="K140" s="46" t="s">
        <v>1883</v>
      </c>
      <c r="L140" s="46" t="s">
        <v>1884</v>
      </c>
      <c r="M140" s="46" t="s">
        <v>1885</v>
      </c>
      <c r="N140" s="46" t="s">
        <v>1886</v>
      </c>
      <c r="O140" s="46" t="s">
        <v>1887</v>
      </c>
    </row>
    <row r="141" spans="2:15">
      <c r="B141" s="46" t="s">
        <v>133</v>
      </c>
      <c r="C141" s="46" t="s">
        <v>4858</v>
      </c>
      <c r="D141" s="46" t="s">
        <v>3708</v>
      </c>
      <c r="H141" s="46" t="s">
        <v>1095</v>
      </c>
      <c r="I141" s="46" t="s">
        <v>1888</v>
      </c>
      <c r="J141" s="46" t="s">
        <v>1889</v>
      </c>
      <c r="K141" s="46" t="s">
        <v>1890</v>
      </c>
      <c r="L141" s="46" t="s">
        <v>1891</v>
      </c>
      <c r="M141" s="46" t="s">
        <v>1892</v>
      </c>
      <c r="N141" s="46" t="s">
        <v>1893</v>
      </c>
      <c r="O141" s="46" t="s">
        <v>1894</v>
      </c>
    </row>
    <row r="142" spans="2:15">
      <c r="B142" s="46" t="s">
        <v>134</v>
      </c>
      <c r="C142" s="46" t="s">
        <v>4859</v>
      </c>
      <c r="D142" s="46" t="s">
        <v>3718</v>
      </c>
      <c r="H142" s="46" t="s">
        <v>1095</v>
      </c>
      <c r="I142" s="46" t="s">
        <v>1895</v>
      </c>
      <c r="J142" s="46" t="s">
        <v>1896</v>
      </c>
      <c r="K142" s="46" t="s">
        <v>1897</v>
      </c>
      <c r="L142" s="46" t="s">
        <v>1898</v>
      </c>
      <c r="M142" s="46" t="s">
        <v>1899</v>
      </c>
      <c r="N142" s="46" t="s">
        <v>1900</v>
      </c>
      <c r="O142" s="46" t="s">
        <v>1901</v>
      </c>
    </row>
    <row r="143" spans="2:15">
      <c r="B143" s="46" t="s">
        <v>135</v>
      </c>
      <c r="C143" s="46" t="s">
        <v>4860</v>
      </c>
      <c r="D143" s="46" t="s">
        <v>3728</v>
      </c>
      <c r="H143" s="46" t="s">
        <v>1095</v>
      </c>
      <c r="I143" s="46" t="s">
        <v>1902</v>
      </c>
      <c r="J143" s="46" t="s">
        <v>1903</v>
      </c>
      <c r="K143" s="46" t="s">
        <v>1904</v>
      </c>
      <c r="L143" s="46" t="s">
        <v>1905</v>
      </c>
      <c r="M143" s="46" t="s">
        <v>1906</v>
      </c>
      <c r="N143" s="46" t="s">
        <v>1907</v>
      </c>
      <c r="O143" s="46" t="s">
        <v>1908</v>
      </c>
    </row>
    <row r="144" spans="2:15">
      <c r="B144" s="46" t="s">
        <v>136</v>
      </c>
      <c r="C144" s="46" t="s">
        <v>4861</v>
      </c>
      <c r="D144" s="46" t="s">
        <v>3738</v>
      </c>
      <c r="H144" s="46" t="s">
        <v>1095</v>
      </c>
      <c r="I144" s="46" t="s">
        <v>1909</v>
      </c>
      <c r="J144" s="46" t="s">
        <v>1910</v>
      </c>
      <c r="K144" s="46" t="s">
        <v>1911</v>
      </c>
      <c r="L144" s="46" t="s">
        <v>1912</v>
      </c>
      <c r="M144" s="46" t="s">
        <v>1913</v>
      </c>
      <c r="N144" s="46" t="s">
        <v>1914</v>
      </c>
      <c r="O144" s="46" t="s">
        <v>1915</v>
      </c>
    </row>
    <row r="145" spans="2:15">
      <c r="B145" s="46" t="s">
        <v>137</v>
      </c>
      <c r="C145" s="46" t="s">
        <v>4862</v>
      </c>
      <c r="D145" s="46" t="s">
        <v>3748</v>
      </c>
      <c r="H145" s="46" t="s">
        <v>1095</v>
      </c>
      <c r="I145" s="46" t="s">
        <v>1916</v>
      </c>
      <c r="J145" s="46" t="s">
        <v>1917</v>
      </c>
      <c r="K145" s="46" t="s">
        <v>1918</v>
      </c>
      <c r="L145" s="46" t="s">
        <v>1919</v>
      </c>
      <c r="M145" s="46" t="s">
        <v>1920</v>
      </c>
      <c r="N145" s="46" t="s">
        <v>1921</v>
      </c>
      <c r="O145" s="46" t="s">
        <v>1922</v>
      </c>
    </row>
    <row r="146" spans="2:15">
      <c r="B146" s="46" t="s">
        <v>138</v>
      </c>
      <c r="C146" s="46" t="s">
        <v>4863</v>
      </c>
      <c r="D146" s="46" t="s">
        <v>3758</v>
      </c>
      <c r="H146" s="46" t="s">
        <v>1095</v>
      </c>
      <c r="I146" s="46" t="s">
        <v>1923</v>
      </c>
      <c r="J146" s="46" t="s">
        <v>1924</v>
      </c>
      <c r="K146" s="46" t="s">
        <v>1925</v>
      </c>
      <c r="L146" s="46" t="s">
        <v>1926</v>
      </c>
      <c r="M146" s="46" t="s">
        <v>1927</v>
      </c>
      <c r="N146" s="46" t="s">
        <v>1928</v>
      </c>
      <c r="O146" s="46" t="s">
        <v>1929</v>
      </c>
    </row>
    <row r="147" spans="2:15">
      <c r="B147" s="46" t="s">
        <v>139</v>
      </c>
      <c r="C147" s="46" t="s">
        <v>4864</v>
      </c>
      <c r="D147" s="46" t="s">
        <v>3768</v>
      </c>
      <c r="H147" s="46" t="s">
        <v>1095</v>
      </c>
      <c r="I147" s="46" t="s">
        <v>1930</v>
      </c>
      <c r="J147" s="46" t="s">
        <v>1931</v>
      </c>
      <c r="K147" s="46" t="s">
        <v>1932</v>
      </c>
      <c r="L147" s="46" t="s">
        <v>1933</v>
      </c>
      <c r="M147" s="46" t="s">
        <v>1934</v>
      </c>
      <c r="N147" s="46" t="s">
        <v>1935</v>
      </c>
      <c r="O147" s="46" t="s">
        <v>1936</v>
      </c>
    </row>
    <row r="148" spans="2:15">
      <c r="B148" s="46" t="s">
        <v>140</v>
      </c>
      <c r="C148" s="46" t="s">
        <v>4865</v>
      </c>
      <c r="D148" s="46" t="s">
        <v>3778</v>
      </c>
      <c r="H148" s="46" t="s">
        <v>1095</v>
      </c>
      <c r="I148" s="46" t="s">
        <v>1937</v>
      </c>
      <c r="J148" s="46" t="s">
        <v>1938</v>
      </c>
      <c r="K148" s="46" t="s">
        <v>1939</v>
      </c>
      <c r="L148" s="46" t="s">
        <v>1940</v>
      </c>
      <c r="M148" s="46" t="s">
        <v>1941</v>
      </c>
      <c r="N148" s="46" t="s">
        <v>1942</v>
      </c>
      <c r="O148" s="46" t="s">
        <v>1943</v>
      </c>
    </row>
    <row r="149" spans="2:15">
      <c r="B149" s="46" t="s">
        <v>141</v>
      </c>
      <c r="C149" s="46" t="s">
        <v>4866</v>
      </c>
      <c r="D149" s="46" t="s">
        <v>3788</v>
      </c>
      <c r="H149" s="46" t="s">
        <v>1095</v>
      </c>
      <c r="I149" s="46" t="s">
        <v>1944</v>
      </c>
      <c r="J149" s="46" t="s">
        <v>1945</v>
      </c>
      <c r="K149" s="46" t="s">
        <v>1946</v>
      </c>
      <c r="L149" s="46" t="s">
        <v>1947</v>
      </c>
      <c r="M149" s="46" t="s">
        <v>1948</v>
      </c>
      <c r="N149" s="46" t="s">
        <v>1949</v>
      </c>
      <c r="O149" s="46" t="s">
        <v>1950</v>
      </c>
    </row>
    <row r="150" spans="2:15">
      <c r="B150" s="46" t="s">
        <v>142</v>
      </c>
      <c r="C150" s="46" t="s">
        <v>4867</v>
      </c>
      <c r="D150" s="46" t="s">
        <v>3798</v>
      </c>
      <c r="H150" s="46" t="s">
        <v>1095</v>
      </c>
      <c r="I150" s="46" t="s">
        <v>1951</v>
      </c>
      <c r="J150" s="46" t="s">
        <v>1952</v>
      </c>
      <c r="K150" s="46" t="s">
        <v>1953</v>
      </c>
      <c r="L150" s="46" t="s">
        <v>1954</v>
      </c>
      <c r="M150" s="46" t="s">
        <v>1955</v>
      </c>
      <c r="N150" s="46" t="s">
        <v>1956</v>
      </c>
      <c r="O150" s="46" t="s">
        <v>1957</v>
      </c>
    </row>
    <row r="151" spans="2:15">
      <c r="B151" s="46" t="s">
        <v>143</v>
      </c>
      <c r="C151" s="46" t="s">
        <v>4868</v>
      </c>
      <c r="D151" s="46" t="s">
        <v>3808</v>
      </c>
      <c r="H151" s="46" t="s">
        <v>1095</v>
      </c>
      <c r="I151" s="46" t="s">
        <v>1958</v>
      </c>
      <c r="J151" s="46" t="s">
        <v>1959</v>
      </c>
      <c r="K151" s="46" t="s">
        <v>1960</v>
      </c>
      <c r="L151" s="46" t="s">
        <v>1961</v>
      </c>
      <c r="M151" s="46" t="s">
        <v>1962</v>
      </c>
      <c r="N151" s="46" t="s">
        <v>1963</v>
      </c>
      <c r="O151" s="46" t="s">
        <v>1964</v>
      </c>
    </row>
    <row r="152" spans="2:15">
      <c r="B152" s="46" t="s">
        <v>144</v>
      </c>
      <c r="C152" s="46" t="s">
        <v>4869</v>
      </c>
      <c r="D152" s="46" t="s">
        <v>3818</v>
      </c>
      <c r="H152" s="46" t="s">
        <v>1095</v>
      </c>
      <c r="I152" s="46" t="s">
        <v>1965</v>
      </c>
      <c r="J152" s="46" t="s">
        <v>1966</v>
      </c>
      <c r="K152" s="46" t="s">
        <v>1967</v>
      </c>
      <c r="L152" s="46" t="s">
        <v>1968</v>
      </c>
      <c r="M152" s="46" t="s">
        <v>1969</v>
      </c>
      <c r="N152" s="46" t="s">
        <v>1970</v>
      </c>
      <c r="O152" s="46" t="s">
        <v>1971</v>
      </c>
    </row>
    <row r="153" spans="2:15">
      <c r="B153" s="46" t="s">
        <v>145</v>
      </c>
      <c r="C153" s="46" t="s">
        <v>4870</v>
      </c>
      <c r="D153" s="46" t="s">
        <v>3828</v>
      </c>
      <c r="H153" s="46" t="s">
        <v>1095</v>
      </c>
      <c r="I153" s="46" t="s">
        <v>1972</v>
      </c>
      <c r="J153" s="46" t="s">
        <v>1973</v>
      </c>
      <c r="K153" s="46" t="s">
        <v>1974</v>
      </c>
      <c r="L153" s="46" t="s">
        <v>1975</v>
      </c>
      <c r="M153" s="46" t="s">
        <v>1976</v>
      </c>
      <c r="N153" s="46" t="s">
        <v>1977</v>
      </c>
      <c r="O153" s="46" t="s">
        <v>1978</v>
      </c>
    </row>
    <row r="154" spans="2:15">
      <c r="B154" s="46" t="s">
        <v>146</v>
      </c>
      <c r="C154" s="46" t="s">
        <v>4871</v>
      </c>
      <c r="D154" s="46" t="s">
        <v>3838</v>
      </c>
      <c r="H154" s="46" t="s">
        <v>1095</v>
      </c>
      <c r="I154" s="46" t="s">
        <v>1979</v>
      </c>
      <c r="J154" s="46" t="s">
        <v>1980</v>
      </c>
      <c r="K154" s="46" t="s">
        <v>1981</v>
      </c>
      <c r="L154" s="46" t="s">
        <v>1982</v>
      </c>
      <c r="M154" s="46" t="s">
        <v>1983</v>
      </c>
      <c r="N154" s="46" t="s">
        <v>1984</v>
      </c>
      <c r="O154" s="46" t="s">
        <v>1985</v>
      </c>
    </row>
    <row r="155" spans="2:15">
      <c r="B155" s="46" t="s">
        <v>147</v>
      </c>
      <c r="C155" s="46" t="s">
        <v>4872</v>
      </c>
      <c r="D155" s="46" t="s">
        <v>3848</v>
      </c>
      <c r="H155" s="46" t="s">
        <v>1095</v>
      </c>
      <c r="I155" s="46" t="s">
        <v>1986</v>
      </c>
      <c r="J155" s="46" t="s">
        <v>1987</v>
      </c>
      <c r="K155" s="46" t="s">
        <v>1988</v>
      </c>
      <c r="L155" s="46" t="s">
        <v>1989</v>
      </c>
      <c r="M155" s="46" t="s">
        <v>1990</v>
      </c>
      <c r="N155" s="46" t="s">
        <v>1991</v>
      </c>
      <c r="O155" s="46" t="s">
        <v>1992</v>
      </c>
    </row>
    <row r="156" spans="2:15">
      <c r="B156" s="46" t="s">
        <v>148</v>
      </c>
      <c r="C156" s="46" t="s">
        <v>4873</v>
      </c>
      <c r="D156" s="46" t="s">
        <v>3858</v>
      </c>
      <c r="H156" s="46" t="s">
        <v>1095</v>
      </c>
      <c r="I156" s="46" t="s">
        <v>1993</v>
      </c>
      <c r="J156" s="46" t="s">
        <v>1994</v>
      </c>
      <c r="K156" s="46" t="s">
        <v>1995</v>
      </c>
      <c r="L156" s="46" t="s">
        <v>1996</v>
      </c>
      <c r="M156" s="46" t="s">
        <v>1997</v>
      </c>
      <c r="N156" s="46" t="s">
        <v>1998</v>
      </c>
      <c r="O156" s="46" t="s">
        <v>1999</v>
      </c>
    </row>
    <row r="157" spans="2:15">
      <c r="B157" s="46" t="s">
        <v>149</v>
      </c>
      <c r="C157" s="46" t="s">
        <v>4874</v>
      </c>
      <c r="D157" s="46" t="s">
        <v>3868</v>
      </c>
      <c r="E157" s="46" t="s">
        <v>27</v>
      </c>
      <c r="F157" s="46" t="s">
        <v>4875</v>
      </c>
      <c r="G157" s="46" t="s">
        <v>4876</v>
      </c>
      <c r="H157" s="46" t="s">
        <v>2000</v>
      </c>
      <c r="I157" s="46" t="s">
        <v>2001</v>
      </c>
      <c r="J157" s="46" t="s">
        <v>2002</v>
      </c>
      <c r="K157" s="46" t="s">
        <v>2003</v>
      </c>
      <c r="L157" s="46" t="s">
        <v>2004</v>
      </c>
      <c r="M157" s="46" t="s">
        <v>2005</v>
      </c>
      <c r="N157" s="46" t="s">
        <v>2006</v>
      </c>
      <c r="O157" s="46" t="s">
        <v>2007</v>
      </c>
    </row>
    <row r="158" spans="2:15">
      <c r="B158" s="46" t="s">
        <v>149</v>
      </c>
      <c r="C158" s="46" t="s">
        <v>4877</v>
      </c>
      <c r="D158" s="46" t="s">
        <v>3878</v>
      </c>
      <c r="E158" s="46" t="s">
        <v>150</v>
      </c>
      <c r="F158" s="46" t="s">
        <v>4878</v>
      </c>
      <c r="G158" s="46" t="s">
        <v>4879</v>
      </c>
      <c r="H158" s="46" t="s">
        <v>2008</v>
      </c>
      <c r="I158" s="46" t="s">
        <v>2009</v>
      </c>
      <c r="J158" s="46" t="s">
        <v>2010</v>
      </c>
      <c r="K158" s="46" t="s">
        <v>2011</v>
      </c>
      <c r="L158" s="46" t="s">
        <v>2012</v>
      </c>
      <c r="M158" s="46" t="s">
        <v>2013</v>
      </c>
      <c r="N158" s="46" t="s">
        <v>2014</v>
      </c>
      <c r="O158" s="46" t="s">
        <v>2015</v>
      </c>
    </row>
    <row r="159" spans="2:15">
      <c r="B159" s="46" t="s">
        <v>149</v>
      </c>
      <c r="C159" s="46" t="s">
        <v>4880</v>
      </c>
      <c r="D159" s="46" t="s">
        <v>3888</v>
      </c>
      <c r="O159" s="46" t="s">
        <v>2016</v>
      </c>
    </row>
    <row r="160" spans="2:15">
      <c r="B160" s="46" t="s">
        <v>151</v>
      </c>
      <c r="C160" s="46" t="s">
        <v>4881</v>
      </c>
      <c r="D160" s="46" t="s">
        <v>3898</v>
      </c>
      <c r="E160" s="46" t="s">
        <v>27</v>
      </c>
      <c r="F160" s="46" t="s">
        <v>4882</v>
      </c>
      <c r="G160" s="46" t="s">
        <v>4883</v>
      </c>
      <c r="H160" s="46" t="s">
        <v>2017</v>
      </c>
      <c r="I160" s="46" t="s">
        <v>2018</v>
      </c>
      <c r="J160" s="46" t="s">
        <v>2019</v>
      </c>
      <c r="K160" s="46" t="s">
        <v>2020</v>
      </c>
      <c r="L160" s="46" t="s">
        <v>2021</v>
      </c>
      <c r="M160" s="46" t="s">
        <v>2022</v>
      </c>
      <c r="N160" s="46" t="s">
        <v>2023</v>
      </c>
      <c r="O160" s="46" t="s">
        <v>2024</v>
      </c>
    </row>
    <row r="161" spans="2:15">
      <c r="B161" s="46" t="s">
        <v>151</v>
      </c>
      <c r="C161" s="46" t="s">
        <v>4884</v>
      </c>
      <c r="D161" s="46" t="s">
        <v>3908</v>
      </c>
      <c r="E161" s="46" t="s">
        <v>152</v>
      </c>
      <c r="F161" s="46" t="s">
        <v>4885</v>
      </c>
      <c r="G161" s="46" t="s">
        <v>4886</v>
      </c>
      <c r="H161" s="46" t="s">
        <v>2025</v>
      </c>
      <c r="I161" s="46" t="s">
        <v>2026</v>
      </c>
      <c r="J161" s="46" t="s">
        <v>2027</v>
      </c>
      <c r="K161" s="46" t="s">
        <v>2028</v>
      </c>
      <c r="L161" s="46" t="s">
        <v>2029</v>
      </c>
      <c r="M161" s="46" t="s">
        <v>2030</v>
      </c>
      <c r="N161" s="46" t="s">
        <v>2031</v>
      </c>
      <c r="O161" s="46" t="s">
        <v>2032</v>
      </c>
    </row>
    <row r="162" spans="2:15">
      <c r="B162" s="46" t="s">
        <v>151</v>
      </c>
      <c r="C162" s="46" t="s">
        <v>4887</v>
      </c>
      <c r="D162" s="46" t="s">
        <v>3918</v>
      </c>
      <c r="O162" s="46" t="s">
        <v>2033</v>
      </c>
    </row>
    <row r="163" spans="2:15">
      <c r="B163" s="46" t="s">
        <v>153</v>
      </c>
      <c r="C163" s="46" t="s">
        <v>4888</v>
      </c>
      <c r="D163" s="46" t="s">
        <v>3928</v>
      </c>
      <c r="E163" s="46" t="s">
        <v>27</v>
      </c>
      <c r="F163" s="46" t="s">
        <v>4889</v>
      </c>
      <c r="G163" s="46" t="s">
        <v>4890</v>
      </c>
      <c r="H163" s="46" t="s">
        <v>2034</v>
      </c>
      <c r="I163" s="46" t="s">
        <v>2035</v>
      </c>
      <c r="J163" s="46" t="s">
        <v>2036</v>
      </c>
      <c r="K163" s="46" t="s">
        <v>2037</v>
      </c>
      <c r="L163" s="46" t="s">
        <v>2038</v>
      </c>
      <c r="M163" s="46" t="s">
        <v>2039</v>
      </c>
      <c r="N163" s="46" t="s">
        <v>2040</v>
      </c>
      <c r="O163" s="46" t="s">
        <v>2041</v>
      </c>
    </row>
    <row r="164" spans="2:15">
      <c r="B164" s="46" t="s">
        <v>153</v>
      </c>
      <c r="C164" s="46" t="s">
        <v>4891</v>
      </c>
      <c r="D164" s="46" t="s">
        <v>3938</v>
      </c>
      <c r="E164" s="46" t="s">
        <v>154</v>
      </c>
      <c r="F164" s="46" t="s">
        <v>4892</v>
      </c>
      <c r="G164" s="46" t="s">
        <v>4893</v>
      </c>
      <c r="H164" s="46" t="s">
        <v>2042</v>
      </c>
      <c r="I164" s="46" t="s">
        <v>2043</v>
      </c>
      <c r="J164" s="46" t="s">
        <v>2044</v>
      </c>
      <c r="K164" s="46" t="s">
        <v>2045</v>
      </c>
      <c r="L164" s="46" t="s">
        <v>2046</v>
      </c>
      <c r="M164" s="46" t="s">
        <v>2047</v>
      </c>
      <c r="N164" s="46" t="s">
        <v>2048</v>
      </c>
      <c r="O164" s="46" t="s">
        <v>2049</v>
      </c>
    </row>
    <row r="165" spans="2:15">
      <c r="B165" s="46" t="s">
        <v>153</v>
      </c>
      <c r="C165" s="46" t="s">
        <v>4894</v>
      </c>
      <c r="D165" s="46" t="s">
        <v>3948</v>
      </c>
      <c r="O165" s="46" t="s">
        <v>2050</v>
      </c>
    </row>
    <row r="166" spans="2:15">
      <c r="B166" s="46" t="s">
        <v>155</v>
      </c>
      <c r="C166" s="46" t="s">
        <v>4895</v>
      </c>
      <c r="D166" s="46" t="s">
        <v>3958</v>
      </c>
      <c r="E166" s="46" t="s">
        <v>27</v>
      </c>
      <c r="F166" s="46" t="s">
        <v>4896</v>
      </c>
      <c r="G166" s="46" t="s">
        <v>4897</v>
      </c>
      <c r="H166" s="46" t="s">
        <v>2051</v>
      </c>
      <c r="I166" s="46" t="s">
        <v>2052</v>
      </c>
      <c r="J166" s="46" t="s">
        <v>2053</v>
      </c>
      <c r="K166" s="46" t="s">
        <v>2054</v>
      </c>
      <c r="L166" s="46" t="s">
        <v>2055</v>
      </c>
      <c r="M166" s="46" t="s">
        <v>2056</v>
      </c>
      <c r="N166" s="46" t="s">
        <v>2057</v>
      </c>
      <c r="O166" s="46" t="s">
        <v>2058</v>
      </c>
    </row>
    <row r="167" spans="2:15">
      <c r="B167" s="46" t="s">
        <v>155</v>
      </c>
      <c r="C167" s="46" t="s">
        <v>4898</v>
      </c>
      <c r="D167" s="46" t="s">
        <v>3968</v>
      </c>
      <c r="E167" s="46" t="s">
        <v>156</v>
      </c>
      <c r="F167" s="46" t="s">
        <v>4899</v>
      </c>
      <c r="G167" s="46" t="s">
        <v>4900</v>
      </c>
      <c r="H167" s="46" t="s">
        <v>2059</v>
      </c>
      <c r="I167" s="46" t="s">
        <v>2060</v>
      </c>
      <c r="J167" s="46" t="s">
        <v>2061</v>
      </c>
      <c r="K167" s="46" t="s">
        <v>2062</v>
      </c>
      <c r="L167" s="46" t="s">
        <v>2063</v>
      </c>
      <c r="M167" s="46" t="s">
        <v>2064</v>
      </c>
      <c r="N167" s="46" t="s">
        <v>2065</v>
      </c>
      <c r="O167" s="46" t="s">
        <v>2066</v>
      </c>
    </row>
    <row r="168" spans="2:15">
      <c r="B168" s="46" t="s">
        <v>155</v>
      </c>
      <c r="C168" s="46" t="s">
        <v>4901</v>
      </c>
      <c r="D168" s="46" t="s">
        <v>3978</v>
      </c>
      <c r="O168" s="46" t="s">
        <v>2067</v>
      </c>
    </row>
    <row r="169" spans="2:15">
      <c r="B169" s="46" t="s">
        <v>157</v>
      </c>
      <c r="C169" s="46" t="s">
        <v>4902</v>
      </c>
      <c r="D169" s="46" t="s">
        <v>3988</v>
      </c>
      <c r="E169" s="46" t="s">
        <v>27</v>
      </c>
      <c r="F169" s="46" t="s">
        <v>4903</v>
      </c>
      <c r="G169" s="46" t="s">
        <v>4904</v>
      </c>
      <c r="H169" s="46" t="s">
        <v>2068</v>
      </c>
      <c r="I169" s="46" t="s">
        <v>2069</v>
      </c>
      <c r="J169" s="46" t="s">
        <v>2070</v>
      </c>
      <c r="K169" s="46" t="s">
        <v>2071</v>
      </c>
      <c r="L169" s="46" t="s">
        <v>2072</v>
      </c>
      <c r="M169" s="46" t="s">
        <v>2073</v>
      </c>
      <c r="N169" s="46" t="s">
        <v>2074</v>
      </c>
      <c r="O169" s="46" t="s">
        <v>2075</v>
      </c>
    </row>
    <row r="170" spans="2:15">
      <c r="B170" s="46" t="s">
        <v>157</v>
      </c>
      <c r="C170" s="46" t="s">
        <v>4905</v>
      </c>
      <c r="D170" s="46" t="s">
        <v>3998</v>
      </c>
      <c r="E170" s="46" t="s">
        <v>158</v>
      </c>
      <c r="F170" s="46" t="s">
        <v>4906</v>
      </c>
      <c r="G170" s="46" t="s">
        <v>4907</v>
      </c>
      <c r="H170" s="46" t="s">
        <v>2076</v>
      </c>
      <c r="I170" s="46" t="s">
        <v>2077</v>
      </c>
      <c r="J170" s="46" t="s">
        <v>2078</v>
      </c>
      <c r="K170" s="46" t="s">
        <v>2079</v>
      </c>
      <c r="L170" s="46" t="s">
        <v>2080</v>
      </c>
      <c r="M170" s="46" t="s">
        <v>2081</v>
      </c>
      <c r="N170" s="46" t="s">
        <v>2082</v>
      </c>
      <c r="O170" s="46" t="s">
        <v>2083</v>
      </c>
    </row>
    <row r="171" spans="2:15">
      <c r="B171" s="46" t="s">
        <v>157</v>
      </c>
      <c r="C171" s="46" t="s">
        <v>4908</v>
      </c>
      <c r="D171" s="46" t="s">
        <v>4008</v>
      </c>
      <c r="O171" s="46" t="s">
        <v>2084</v>
      </c>
    </row>
    <row r="172" spans="2:15">
      <c r="B172" s="46" t="s">
        <v>159</v>
      </c>
      <c r="C172" s="46" t="s">
        <v>4909</v>
      </c>
      <c r="D172" s="46" t="s">
        <v>4018</v>
      </c>
      <c r="E172" s="46" t="s">
        <v>27</v>
      </c>
      <c r="F172" s="46" t="s">
        <v>4910</v>
      </c>
      <c r="G172" s="46" t="s">
        <v>4911</v>
      </c>
      <c r="H172" s="46" t="s">
        <v>2085</v>
      </c>
      <c r="I172" s="46" t="s">
        <v>2086</v>
      </c>
      <c r="J172" s="46" t="s">
        <v>2087</v>
      </c>
      <c r="K172" s="46" t="s">
        <v>2088</v>
      </c>
      <c r="L172" s="46" t="s">
        <v>2089</v>
      </c>
      <c r="M172" s="46" t="s">
        <v>2090</v>
      </c>
      <c r="N172" s="46" t="s">
        <v>2091</v>
      </c>
      <c r="O172" s="46" t="s">
        <v>2092</v>
      </c>
    </row>
    <row r="173" spans="2:15">
      <c r="B173" s="46" t="s">
        <v>159</v>
      </c>
      <c r="C173" s="46" t="s">
        <v>4912</v>
      </c>
      <c r="D173" s="46" t="s">
        <v>4028</v>
      </c>
      <c r="E173" s="46" t="s">
        <v>160</v>
      </c>
      <c r="F173" s="46" t="s">
        <v>4913</v>
      </c>
      <c r="G173" s="46" t="s">
        <v>4914</v>
      </c>
      <c r="H173" s="46" t="s">
        <v>2093</v>
      </c>
      <c r="I173" s="46" t="s">
        <v>2094</v>
      </c>
      <c r="J173" s="46" t="s">
        <v>2095</v>
      </c>
      <c r="K173" s="46" t="s">
        <v>2096</v>
      </c>
      <c r="L173" s="46" t="s">
        <v>2097</v>
      </c>
      <c r="M173" s="46" t="s">
        <v>2098</v>
      </c>
      <c r="N173" s="46" t="s">
        <v>2099</v>
      </c>
      <c r="O173" s="46" t="s">
        <v>2100</v>
      </c>
    </row>
    <row r="174" spans="2:15">
      <c r="B174" s="46" t="s">
        <v>159</v>
      </c>
      <c r="C174" s="46" t="s">
        <v>4915</v>
      </c>
      <c r="D174" s="46" t="s">
        <v>4038</v>
      </c>
      <c r="O174" s="46" t="s">
        <v>2101</v>
      </c>
    </row>
    <row r="175" spans="2:15">
      <c r="B175" s="46" t="s">
        <v>161</v>
      </c>
      <c r="C175" s="46" t="s">
        <v>4916</v>
      </c>
      <c r="D175" s="46" t="s">
        <v>4048</v>
      </c>
      <c r="E175" s="46" t="s">
        <v>150</v>
      </c>
      <c r="F175" s="46" t="s">
        <v>4917</v>
      </c>
      <c r="G175" s="46" t="s">
        <v>4918</v>
      </c>
      <c r="H175" s="46" t="s">
        <v>2102</v>
      </c>
      <c r="I175" s="46" t="s">
        <v>2103</v>
      </c>
      <c r="J175" s="46" t="s">
        <v>2104</v>
      </c>
      <c r="K175" s="46" t="s">
        <v>2105</v>
      </c>
      <c r="L175" s="46" t="s">
        <v>2106</v>
      </c>
      <c r="M175" s="46" t="s">
        <v>2107</v>
      </c>
      <c r="N175" s="46" t="s">
        <v>2108</v>
      </c>
      <c r="O175" s="46" t="s">
        <v>2109</v>
      </c>
    </row>
    <row r="176" spans="2:15">
      <c r="B176" s="46" t="s">
        <v>161</v>
      </c>
      <c r="C176" s="46" t="s">
        <v>4919</v>
      </c>
      <c r="D176" s="46" t="s">
        <v>4058</v>
      </c>
      <c r="E176" s="46" t="s">
        <v>162</v>
      </c>
      <c r="F176" s="46" t="s">
        <v>4920</v>
      </c>
      <c r="G176" s="46" t="s">
        <v>4921</v>
      </c>
      <c r="H176" s="46" t="s">
        <v>2110</v>
      </c>
      <c r="I176" s="46" t="s">
        <v>2111</v>
      </c>
      <c r="J176" s="46" t="s">
        <v>2112</v>
      </c>
      <c r="K176" s="46" t="s">
        <v>2113</v>
      </c>
      <c r="L176" s="46" t="s">
        <v>2114</v>
      </c>
      <c r="M176" s="46" t="s">
        <v>2115</v>
      </c>
      <c r="N176" s="46" t="s">
        <v>2116</v>
      </c>
      <c r="O176" s="46" t="s">
        <v>2117</v>
      </c>
    </row>
    <row r="177" spans="2:15">
      <c r="B177" s="46" t="s">
        <v>161</v>
      </c>
      <c r="C177" s="46" t="s">
        <v>4922</v>
      </c>
      <c r="D177" s="46" t="s">
        <v>4068</v>
      </c>
      <c r="O177" s="46" t="s">
        <v>2118</v>
      </c>
    </row>
    <row r="178" spans="2:15">
      <c r="B178" s="46" t="s">
        <v>163</v>
      </c>
      <c r="C178" s="46" t="s">
        <v>4923</v>
      </c>
      <c r="D178" s="46" t="s">
        <v>4078</v>
      </c>
      <c r="E178" s="46" t="s">
        <v>154</v>
      </c>
      <c r="F178" s="46" t="s">
        <v>4924</v>
      </c>
      <c r="G178" s="46" t="s">
        <v>4925</v>
      </c>
      <c r="H178" s="46" t="s">
        <v>2119</v>
      </c>
      <c r="I178" s="46" t="s">
        <v>2120</v>
      </c>
      <c r="J178" s="46" t="s">
        <v>2121</v>
      </c>
      <c r="K178" s="46" t="s">
        <v>2122</v>
      </c>
      <c r="L178" s="46" t="s">
        <v>2123</v>
      </c>
      <c r="M178" s="46" t="s">
        <v>2124</v>
      </c>
      <c r="N178" s="46" t="s">
        <v>2125</v>
      </c>
      <c r="O178" s="46" t="s">
        <v>2126</v>
      </c>
    </row>
    <row r="179" spans="2:15">
      <c r="B179" s="46" t="s">
        <v>163</v>
      </c>
      <c r="C179" s="46" t="s">
        <v>4926</v>
      </c>
      <c r="D179" s="46" t="s">
        <v>4088</v>
      </c>
      <c r="E179" s="46" t="s">
        <v>162</v>
      </c>
      <c r="F179" s="46" t="s">
        <v>4927</v>
      </c>
      <c r="G179" s="46" t="s">
        <v>4928</v>
      </c>
      <c r="H179" s="46" t="s">
        <v>2127</v>
      </c>
      <c r="I179" s="46" t="s">
        <v>2128</v>
      </c>
      <c r="J179" s="46" t="s">
        <v>2129</v>
      </c>
      <c r="K179" s="46" t="s">
        <v>2130</v>
      </c>
      <c r="L179" s="46" t="s">
        <v>2131</v>
      </c>
      <c r="M179" s="46" t="s">
        <v>2132</v>
      </c>
      <c r="N179" s="46" t="s">
        <v>2133</v>
      </c>
      <c r="O179" s="46" t="s">
        <v>2134</v>
      </c>
    </row>
    <row r="180" spans="2:15">
      <c r="B180" s="46" t="s">
        <v>163</v>
      </c>
      <c r="C180" s="46" t="s">
        <v>4929</v>
      </c>
      <c r="D180" s="46" t="s">
        <v>4098</v>
      </c>
      <c r="M180" s="46" t="s">
        <v>2135</v>
      </c>
      <c r="N180" s="46" t="s">
        <v>2136</v>
      </c>
      <c r="O180" s="46" t="s">
        <v>2137</v>
      </c>
    </row>
    <row r="181" spans="2:15">
      <c r="B181" s="46" t="s">
        <v>164</v>
      </c>
      <c r="C181" s="46" t="s">
        <v>4930</v>
      </c>
      <c r="D181" s="46" t="s">
        <v>4108</v>
      </c>
      <c r="E181" s="46" t="s">
        <v>158</v>
      </c>
      <c r="F181" s="46" t="s">
        <v>4931</v>
      </c>
      <c r="G181" s="46" t="s">
        <v>4932</v>
      </c>
      <c r="H181" s="46" t="s">
        <v>2138</v>
      </c>
      <c r="I181" s="46" t="s">
        <v>2139</v>
      </c>
      <c r="J181" s="46" t="s">
        <v>2140</v>
      </c>
      <c r="K181" s="46" t="s">
        <v>2141</v>
      </c>
      <c r="L181" s="46" t="s">
        <v>2142</v>
      </c>
      <c r="M181" s="46" t="s">
        <v>2143</v>
      </c>
      <c r="N181" s="46" t="s">
        <v>2144</v>
      </c>
      <c r="O181" s="46" t="s">
        <v>2145</v>
      </c>
    </row>
    <row r="182" spans="2:15">
      <c r="B182" s="46" t="s">
        <v>164</v>
      </c>
      <c r="C182" s="46" t="s">
        <v>4933</v>
      </c>
      <c r="D182" s="46" t="s">
        <v>4118</v>
      </c>
      <c r="E182" s="46" t="s">
        <v>162</v>
      </c>
      <c r="F182" s="46" t="s">
        <v>4934</v>
      </c>
      <c r="G182" s="46" t="s">
        <v>4935</v>
      </c>
      <c r="H182" s="46" t="s">
        <v>2146</v>
      </c>
      <c r="I182" s="46" t="s">
        <v>2147</v>
      </c>
      <c r="J182" s="46" t="s">
        <v>2148</v>
      </c>
      <c r="K182" s="46" t="s">
        <v>2149</v>
      </c>
      <c r="L182" s="46" t="s">
        <v>2150</v>
      </c>
      <c r="M182" s="46" t="s">
        <v>2151</v>
      </c>
      <c r="N182" s="46" t="s">
        <v>2152</v>
      </c>
      <c r="O182" s="46" t="s">
        <v>2153</v>
      </c>
    </row>
    <row r="183" spans="2:15">
      <c r="B183" s="46" t="s">
        <v>164</v>
      </c>
      <c r="C183" s="46" t="s">
        <v>4936</v>
      </c>
      <c r="D183" s="46" t="s">
        <v>4128</v>
      </c>
      <c r="O183" s="46" t="s">
        <v>2154</v>
      </c>
    </row>
    <row r="184" spans="2:15">
      <c r="B184" s="46" t="s">
        <v>165</v>
      </c>
      <c r="C184" s="46" t="s">
        <v>4937</v>
      </c>
      <c r="D184" s="46" t="s">
        <v>4138</v>
      </c>
      <c r="E184" s="46" t="s">
        <v>109</v>
      </c>
      <c r="F184" s="46" t="s">
        <v>4938</v>
      </c>
      <c r="G184" s="46" t="s">
        <v>4939</v>
      </c>
      <c r="H184" s="46" t="s">
        <v>2155</v>
      </c>
      <c r="I184" s="46" t="s">
        <v>2156</v>
      </c>
      <c r="J184" s="46" t="s">
        <v>2157</v>
      </c>
      <c r="K184" s="46" t="s">
        <v>2158</v>
      </c>
      <c r="L184" s="46" t="s">
        <v>2159</v>
      </c>
      <c r="M184" s="46" t="s">
        <v>2160</v>
      </c>
      <c r="N184" s="46" t="s">
        <v>2161</v>
      </c>
      <c r="O184" s="46" t="s">
        <v>2162</v>
      </c>
    </row>
    <row r="185" spans="2:15">
      <c r="B185" s="46" t="s">
        <v>165</v>
      </c>
      <c r="C185" s="46" t="s">
        <v>4940</v>
      </c>
      <c r="D185" s="46" t="s">
        <v>4148</v>
      </c>
      <c r="E185" s="46" t="s">
        <v>166</v>
      </c>
      <c r="F185" s="46" t="s">
        <v>4941</v>
      </c>
      <c r="G185" s="46" t="s">
        <v>4942</v>
      </c>
      <c r="H185" s="46" t="s">
        <v>2163</v>
      </c>
      <c r="I185" s="46" t="s">
        <v>2164</v>
      </c>
      <c r="J185" s="46" t="s">
        <v>2165</v>
      </c>
      <c r="K185" s="46" t="s">
        <v>2166</v>
      </c>
      <c r="L185" s="46" t="s">
        <v>2167</v>
      </c>
      <c r="M185" s="46" t="s">
        <v>2168</v>
      </c>
      <c r="N185" s="46" t="s">
        <v>2169</v>
      </c>
      <c r="O185" s="46" t="s">
        <v>2170</v>
      </c>
    </row>
    <row r="186" spans="2:15">
      <c r="B186" s="46" t="s">
        <v>165</v>
      </c>
      <c r="C186" s="46" t="s">
        <v>4943</v>
      </c>
      <c r="D186" s="46" t="s">
        <v>4158</v>
      </c>
      <c r="O186" s="46" t="s">
        <v>2171</v>
      </c>
    </row>
    <row r="187" spans="2:15">
      <c r="B187" s="46" t="s">
        <v>167</v>
      </c>
      <c r="C187" s="46" t="s">
        <v>4944</v>
      </c>
      <c r="D187" s="46" t="s">
        <v>4168</v>
      </c>
      <c r="E187" s="46" t="s">
        <v>168</v>
      </c>
      <c r="F187" s="46" t="s">
        <v>4945</v>
      </c>
      <c r="G187" s="46" t="s">
        <v>4946</v>
      </c>
      <c r="H187" s="46" t="s">
        <v>2172</v>
      </c>
      <c r="I187" s="46" t="s">
        <v>2173</v>
      </c>
      <c r="J187" s="46" t="s">
        <v>2174</v>
      </c>
      <c r="K187" s="46" t="s">
        <v>2175</v>
      </c>
      <c r="L187" s="46" t="s">
        <v>2176</v>
      </c>
      <c r="M187" s="46" t="s">
        <v>2177</v>
      </c>
      <c r="N187" s="46" t="s">
        <v>2178</v>
      </c>
      <c r="O187" s="46" t="s">
        <v>2179</v>
      </c>
    </row>
    <row r="188" spans="2:15">
      <c r="B188" s="46" t="s">
        <v>167</v>
      </c>
      <c r="C188" s="46" t="s">
        <v>4947</v>
      </c>
      <c r="D188" s="46" t="s">
        <v>4178</v>
      </c>
      <c r="E188" s="46" t="s">
        <v>169</v>
      </c>
      <c r="F188" s="46" t="s">
        <v>4948</v>
      </c>
      <c r="G188" s="46" t="s">
        <v>4949</v>
      </c>
      <c r="H188" s="46" t="s">
        <v>2180</v>
      </c>
      <c r="I188" s="46" t="s">
        <v>2181</v>
      </c>
      <c r="J188" s="46" t="s">
        <v>2182</v>
      </c>
      <c r="K188" s="46" t="s">
        <v>2183</v>
      </c>
      <c r="L188" s="46" t="s">
        <v>2184</v>
      </c>
      <c r="M188" s="46" t="s">
        <v>2185</v>
      </c>
      <c r="N188" s="46" t="s">
        <v>2186</v>
      </c>
      <c r="O188" s="46" t="s">
        <v>2187</v>
      </c>
    </row>
    <row r="189" spans="2:15">
      <c r="B189" s="46" t="s">
        <v>167</v>
      </c>
      <c r="C189" s="46" t="s">
        <v>4950</v>
      </c>
      <c r="D189" s="46" t="s">
        <v>4188</v>
      </c>
      <c r="E189" s="46" t="s">
        <v>170</v>
      </c>
      <c r="F189" s="46" t="s">
        <v>4951</v>
      </c>
      <c r="G189" s="46" t="s">
        <v>4952</v>
      </c>
      <c r="H189" s="46" t="s">
        <v>1095</v>
      </c>
      <c r="I189" s="46" t="s">
        <v>2188</v>
      </c>
      <c r="J189" s="46" t="s">
        <v>2189</v>
      </c>
      <c r="K189" s="46" t="s">
        <v>2190</v>
      </c>
      <c r="L189" s="46" t="s">
        <v>2191</v>
      </c>
      <c r="M189" s="46" t="s">
        <v>2192</v>
      </c>
      <c r="N189" s="46" t="s">
        <v>2193</v>
      </c>
      <c r="O189" s="46" t="s">
        <v>2194</v>
      </c>
    </row>
    <row r="190" spans="2:15">
      <c r="B190" s="46" t="s">
        <v>167</v>
      </c>
      <c r="C190" s="46" t="s">
        <v>4953</v>
      </c>
      <c r="D190" s="46" t="s">
        <v>4198</v>
      </c>
      <c r="O190" s="46" t="s">
        <v>2195</v>
      </c>
    </row>
    <row r="191" spans="2:15">
      <c r="B191" s="46" t="s">
        <v>171</v>
      </c>
      <c r="C191" s="46" t="s">
        <v>4954</v>
      </c>
      <c r="D191" s="46" t="s">
        <v>4208</v>
      </c>
      <c r="E191" s="46" t="s">
        <v>172</v>
      </c>
      <c r="F191" s="46" t="s">
        <v>4955</v>
      </c>
      <c r="G191" s="46" t="s">
        <v>4956</v>
      </c>
      <c r="H191" s="46" t="s">
        <v>2180</v>
      </c>
      <c r="I191" s="46" t="s">
        <v>2196</v>
      </c>
      <c r="J191" s="46" t="s">
        <v>2197</v>
      </c>
      <c r="K191" s="46" t="s">
        <v>2198</v>
      </c>
      <c r="L191" s="46" t="s">
        <v>2199</v>
      </c>
      <c r="M191" s="46" t="s">
        <v>2200</v>
      </c>
      <c r="N191" s="46" t="s">
        <v>2201</v>
      </c>
      <c r="O191" s="46" t="s">
        <v>2202</v>
      </c>
    </row>
    <row r="192" spans="2:15">
      <c r="B192" s="46" t="s">
        <v>171</v>
      </c>
      <c r="C192" s="46" t="s">
        <v>4957</v>
      </c>
      <c r="D192" s="46" t="s">
        <v>4218</v>
      </c>
      <c r="E192" s="46" t="s">
        <v>173</v>
      </c>
      <c r="F192" s="46" t="s">
        <v>4958</v>
      </c>
      <c r="G192" s="46" t="s">
        <v>4959</v>
      </c>
      <c r="H192" s="46" t="s">
        <v>2203</v>
      </c>
      <c r="I192" s="46" t="s">
        <v>2204</v>
      </c>
      <c r="J192" s="46" t="s">
        <v>2205</v>
      </c>
      <c r="K192" s="46" t="s">
        <v>2206</v>
      </c>
      <c r="L192" s="46" t="s">
        <v>2207</v>
      </c>
      <c r="M192" s="46" t="s">
        <v>2208</v>
      </c>
      <c r="N192" s="46" t="s">
        <v>2209</v>
      </c>
      <c r="O192" s="46" t="s">
        <v>2210</v>
      </c>
    </row>
    <row r="193" spans="2:15">
      <c r="B193" s="46" t="s">
        <v>171</v>
      </c>
      <c r="C193" s="46" t="s">
        <v>4960</v>
      </c>
      <c r="D193" s="46" t="s">
        <v>4228</v>
      </c>
      <c r="E193" s="46" t="s">
        <v>174</v>
      </c>
      <c r="F193" s="46" t="s">
        <v>4961</v>
      </c>
      <c r="G193" s="46" t="s">
        <v>4962</v>
      </c>
      <c r="H193" s="46" t="s">
        <v>2203</v>
      </c>
      <c r="I193" s="46" t="s">
        <v>2211</v>
      </c>
      <c r="J193" s="46" t="s">
        <v>2212</v>
      </c>
      <c r="K193" s="46" t="s">
        <v>2213</v>
      </c>
      <c r="L193" s="46" t="s">
        <v>2214</v>
      </c>
      <c r="M193" s="46" t="s">
        <v>2215</v>
      </c>
      <c r="N193" s="46" t="s">
        <v>2216</v>
      </c>
      <c r="O193" s="46" t="s">
        <v>2217</v>
      </c>
    </row>
    <row r="194" spans="2:15">
      <c r="B194" s="46" t="s">
        <v>171</v>
      </c>
      <c r="C194" s="46" t="s">
        <v>4963</v>
      </c>
      <c r="D194" s="46" t="s">
        <v>4238</v>
      </c>
      <c r="E194" s="46" t="s">
        <v>170</v>
      </c>
      <c r="F194" s="46" t="s">
        <v>4964</v>
      </c>
      <c r="G194" s="46" t="s">
        <v>4965</v>
      </c>
      <c r="H194" s="46" t="s">
        <v>2218</v>
      </c>
      <c r="I194" s="46" t="s">
        <v>2219</v>
      </c>
      <c r="J194" s="46" t="s">
        <v>2220</v>
      </c>
      <c r="K194" s="46" t="s">
        <v>2221</v>
      </c>
      <c r="L194" s="46" t="s">
        <v>2222</v>
      </c>
      <c r="M194" s="46" t="s">
        <v>2223</v>
      </c>
      <c r="N194" s="46" t="s">
        <v>2224</v>
      </c>
      <c r="O194" s="46" t="s">
        <v>2225</v>
      </c>
    </row>
    <row r="195" spans="2:15">
      <c r="B195" s="46" t="s">
        <v>171</v>
      </c>
      <c r="C195" s="46" t="s">
        <v>4966</v>
      </c>
      <c r="D195" s="46" t="s">
        <v>4248</v>
      </c>
      <c r="O195" s="46" t="s">
        <v>2226</v>
      </c>
    </row>
    <row r="196" spans="2:15">
      <c r="B196" s="46" t="s">
        <v>175</v>
      </c>
      <c r="C196" s="46" t="s">
        <v>4967</v>
      </c>
      <c r="D196" s="46" t="s">
        <v>4258</v>
      </c>
      <c r="H196" s="46" t="s">
        <v>1095</v>
      </c>
      <c r="I196" s="46" t="s">
        <v>2227</v>
      </c>
      <c r="J196" s="46" t="s">
        <v>2228</v>
      </c>
      <c r="K196" s="46" t="s">
        <v>2229</v>
      </c>
      <c r="L196" s="46" t="s">
        <v>2230</v>
      </c>
      <c r="M196" s="46" t="s">
        <v>2231</v>
      </c>
      <c r="N196" s="46" t="s">
        <v>2232</v>
      </c>
      <c r="O196" s="46" t="s">
        <v>2233</v>
      </c>
    </row>
    <row r="197" spans="2:15">
      <c r="B197" s="46" t="s">
        <v>176</v>
      </c>
      <c r="C197" s="46" t="s">
        <v>4968</v>
      </c>
      <c r="D197" s="46" t="s">
        <v>4268</v>
      </c>
      <c r="H197" s="46" t="s">
        <v>1095</v>
      </c>
      <c r="I197" s="46" t="s">
        <v>2234</v>
      </c>
      <c r="J197" s="46" t="s">
        <v>2235</v>
      </c>
      <c r="K197" s="46" t="s">
        <v>2236</v>
      </c>
      <c r="L197" s="46" t="s">
        <v>2237</v>
      </c>
      <c r="M197" s="46" t="s">
        <v>2238</v>
      </c>
      <c r="N197" s="46" t="s">
        <v>2239</v>
      </c>
      <c r="O197" s="46" t="s">
        <v>2240</v>
      </c>
    </row>
    <row r="199" spans="2:15">
      <c r="B199" s="46" t="s">
        <v>177</v>
      </c>
    </row>
    <row r="200" spans="2:15">
      <c r="B200" s="46" t="s">
        <v>178</v>
      </c>
      <c r="C200" s="46" t="s">
        <v>4969</v>
      </c>
      <c r="D200" s="46" t="s">
        <v>4298</v>
      </c>
      <c r="E200" s="46" t="s">
        <v>46</v>
      </c>
      <c r="F200" s="46" t="s">
        <v>4970</v>
      </c>
      <c r="G200" s="46" t="s">
        <v>4971</v>
      </c>
      <c r="H200" s="46" t="s">
        <v>4972</v>
      </c>
    </row>
    <row r="201" spans="2:15">
      <c r="B201" s="46" t="s">
        <v>178</v>
      </c>
      <c r="C201" s="46" t="s">
        <v>4973</v>
      </c>
      <c r="D201" s="46" t="s">
        <v>4308</v>
      </c>
      <c r="E201" s="46" t="s">
        <v>28</v>
      </c>
      <c r="F201" s="46" t="s">
        <v>4974</v>
      </c>
      <c r="G201" s="46" t="s">
        <v>4975</v>
      </c>
      <c r="H201" s="46" t="s">
        <v>4976</v>
      </c>
    </row>
    <row r="202" spans="2:15">
      <c r="B202" s="46" t="s">
        <v>178</v>
      </c>
      <c r="C202" s="46" t="s">
        <v>4977</v>
      </c>
      <c r="D202" s="46" t="s">
        <v>4318</v>
      </c>
      <c r="E202" s="46" t="s">
        <v>37</v>
      </c>
      <c r="F202" s="46" t="s">
        <v>4978</v>
      </c>
      <c r="G202" s="46" t="s">
        <v>4979</v>
      </c>
      <c r="H202" s="46" t="s">
        <v>4980</v>
      </c>
    </row>
    <row r="203" spans="2:15">
      <c r="B203" s="46" t="s">
        <v>178</v>
      </c>
      <c r="C203" s="46" t="s">
        <v>4981</v>
      </c>
      <c r="D203" s="46" t="s">
        <v>4328</v>
      </c>
      <c r="E203" s="46" t="s">
        <v>179</v>
      </c>
      <c r="F203" s="46" t="s">
        <v>4982</v>
      </c>
      <c r="G203" s="46" t="s">
        <v>4983</v>
      </c>
      <c r="H203" s="46" t="s">
        <v>4984</v>
      </c>
    </row>
    <row r="204" spans="2:15">
      <c r="B204" s="46" t="s">
        <v>178</v>
      </c>
      <c r="C204" s="46" t="s">
        <v>4985</v>
      </c>
      <c r="D204" s="46" t="s">
        <v>4338</v>
      </c>
    </row>
    <row r="205" spans="2:15">
      <c r="B205" s="46" t="s">
        <v>180</v>
      </c>
      <c r="C205" s="46" t="s">
        <v>4986</v>
      </c>
      <c r="D205" s="46" t="s">
        <v>4348</v>
      </c>
      <c r="E205" s="46" t="s">
        <v>46</v>
      </c>
      <c r="F205" s="46" t="s">
        <v>4987</v>
      </c>
      <c r="G205" s="46" t="s">
        <v>4988</v>
      </c>
      <c r="H205" s="46" t="s">
        <v>4989</v>
      </c>
    </row>
    <row r="206" spans="2:15">
      <c r="B206" s="46" t="s">
        <v>180</v>
      </c>
      <c r="C206" s="46" t="s">
        <v>4990</v>
      </c>
      <c r="D206" s="46" t="s">
        <v>4358</v>
      </c>
      <c r="E206" s="46" t="s">
        <v>28</v>
      </c>
      <c r="F206" s="46" t="s">
        <v>4991</v>
      </c>
      <c r="G206" s="46" t="s">
        <v>4992</v>
      </c>
      <c r="H206" s="46" t="s">
        <v>4993</v>
      </c>
    </row>
    <row r="207" spans="2:15">
      <c r="B207" s="46" t="s">
        <v>180</v>
      </c>
      <c r="C207" s="46" t="s">
        <v>4994</v>
      </c>
      <c r="D207" s="46" t="s">
        <v>4368</v>
      </c>
      <c r="E207" s="46" t="s">
        <v>37</v>
      </c>
      <c r="F207" s="46" t="s">
        <v>4995</v>
      </c>
      <c r="G207" s="46" t="s">
        <v>4996</v>
      </c>
      <c r="H207" s="46" t="s">
        <v>4997</v>
      </c>
    </row>
    <row r="208" spans="2:15">
      <c r="B208" s="46" t="s">
        <v>180</v>
      </c>
      <c r="C208" s="46" t="s">
        <v>4998</v>
      </c>
      <c r="D208" s="46" t="s">
        <v>4378</v>
      </c>
      <c r="E208" s="46" t="s">
        <v>54</v>
      </c>
      <c r="F208" s="46" t="s">
        <v>4999</v>
      </c>
      <c r="G208" s="46" t="s">
        <v>5000</v>
      </c>
      <c r="H208" s="46" t="s">
        <v>5001</v>
      </c>
    </row>
    <row r="209" spans="2:8">
      <c r="B209" s="46" t="s">
        <v>180</v>
      </c>
      <c r="C209" s="46" t="s">
        <v>5002</v>
      </c>
      <c r="D209" s="46" t="s">
        <v>4388</v>
      </c>
      <c r="E209" s="46" t="s">
        <v>181</v>
      </c>
      <c r="F209" s="46" t="s">
        <v>5003</v>
      </c>
      <c r="G209" s="46" t="s">
        <v>5004</v>
      </c>
      <c r="H209" s="46" t="s">
        <v>5005</v>
      </c>
    </row>
    <row r="210" spans="2:8">
      <c r="B210" s="46" t="s">
        <v>180</v>
      </c>
      <c r="C210" s="46" t="s">
        <v>5006</v>
      </c>
      <c r="D210" s="46" t="s">
        <v>4398</v>
      </c>
    </row>
    <row r="211" spans="2:8">
      <c r="B211" s="46" t="s">
        <v>182</v>
      </c>
      <c r="C211" s="46" t="s">
        <v>5007</v>
      </c>
      <c r="D211" s="46" t="s">
        <v>4408</v>
      </c>
      <c r="E211" s="46" t="s">
        <v>54</v>
      </c>
      <c r="F211" s="46" t="s">
        <v>5008</v>
      </c>
      <c r="G211" s="46" t="s">
        <v>5009</v>
      </c>
      <c r="H211" s="46" t="s">
        <v>5010</v>
      </c>
    </row>
    <row r="212" spans="2:8">
      <c r="B212" s="46" t="s">
        <v>182</v>
      </c>
      <c r="C212" s="46" t="s">
        <v>5011</v>
      </c>
      <c r="D212" s="46" t="s">
        <v>4418</v>
      </c>
      <c r="E212" s="46" t="s">
        <v>63</v>
      </c>
      <c r="F212" s="46" t="s">
        <v>5012</v>
      </c>
      <c r="G212" s="46" t="s">
        <v>5013</v>
      </c>
      <c r="H212" s="46" t="s">
        <v>5014</v>
      </c>
    </row>
    <row r="213" spans="2:8">
      <c r="B213" s="46" t="s">
        <v>182</v>
      </c>
      <c r="C213" s="46" t="s">
        <v>5015</v>
      </c>
      <c r="D213" s="46" t="s">
        <v>4428</v>
      </c>
      <c r="E213" s="46" t="s">
        <v>61</v>
      </c>
      <c r="F213" s="46" t="s">
        <v>5016</v>
      </c>
      <c r="G213" s="46" t="s">
        <v>5017</v>
      </c>
      <c r="H213" s="46" t="s">
        <v>5018</v>
      </c>
    </row>
    <row r="214" spans="2:8">
      <c r="B214" s="46" t="s">
        <v>182</v>
      </c>
      <c r="C214" s="46" t="s">
        <v>5019</v>
      </c>
      <c r="D214" s="46" t="s">
        <v>4438</v>
      </c>
      <c r="E214" s="46" t="s">
        <v>179</v>
      </c>
      <c r="F214" s="46" t="s">
        <v>5020</v>
      </c>
      <c r="G214" s="46" t="s">
        <v>5021</v>
      </c>
      <c r="H214" s="46" t="s">
        <v>5022</v>
      </c>
    </row>
    <row r="215" spans="2:8">
      <c r="B215" s="46" t="s">
        <v>182</v>
      </c>
      <c r="C215" s="46" t="s">
        <v>5023</v>
      </c>
      <c r="D215" s="46" t="s">
        <v>4448</v>
      </c>
    </row>
    <row r="216" spans="2:8">
      <c r="B216" s="46" t="s">
        <v>183</v>
      </c>
      <c r="C216" s="46" t="s">
        <v>5024</v>
      </c>
      <c r="D216" s="46" t="s">
        <v>4458</v>
      </c>
      <c r="E216" s="46" t="s">
        <v>46</v>
      </c>
      <c r="F216" s="46" t="s">
        <v>5025</v>
      </c>
      <c r="G216" s="46" t="s">
        <v>5026</v>
      </c>
      <c r="H216" s="46" t="s">
        <v>5027</v>
      </c>
    </row>
    <row r="217" spans="2:8">
      <c r="B217" s="46" t="s">
        <v>183</v>
      </c>
      <c r="C217" s="46" t="s">
        <v>5028</v>
      </c>
      <c r="D217" s="46" t="s">
        <v>4468</v>
      </c>
      <c r="E217" s="46" t="s">
        <v>28</v>
      </c>
      <c r="F217" s="46" t="s">
        <v>5029</v>
      </c>
      <c r="G217" s="46" t="s">
        <v>5030</v>
      </c>
      <c r="H217" s="46" t="s">
        <v>5031</v>
      </c>
    </row>
    <row r="218" spans="2:8">
      <c r="B218" s="46" t="s">
        <v>183</v>
      </c>
      <c r="C218" s="46" t="s">
        <v>5032</v>
      </c>
      <c r="D218" s="46" t="s">
        <v>4478</v>
      </c>
      <c r="E218" s="46" t="s">
        <v>37</v>
      </c>
      <c r="F218" s="46" t="s">
        <v>5033</v>
      </c>
      <c r="G218" s="46" t="s">
        <v>5034</v>
      </c>
      <c r="H218" s="46" t="s">
        <v>5035</v>
      </c>
    </row>
    <row r="219" spans="2:8">
      <c r="B219" s="46" t="s">
        <v>183</v>
      </c>
      <c r="C219" s="46" t="s">
        <v>5036</v>
      </c>
      <c r="D219" s="46" t="s">
        <v>4488</v>
      </c>
      <c r="E219" s="46" t="s">
        <v>181</v>
      </c>
      <c r="F219" s="46" t="s">
        <v>5037</v>
      </c>
      <c r="G219" s="46" t="s">
        <v>5038</v>
      </c>
      <c r="H219" s="46" t="s">
        <v>5039</v>
      </c>
    </row>
    <row r="220" spans="2:8">
      <c r="B220" s="46" t="s">
        <v>183</v>
      </c>
      <c r="C220" s="46" t="s">
        <v>5040</v>
      </c>
      <c r="D220" s="46" t="s">
        <v>4498</v>
      </c>
    </row>
    <row r="221" spans="2:8">
      <c r="B221" s="46" t="s">
        <v>184</v>
      </c>
      <c r="C221" s="46" t="s">
        <v>5041</v>
      </c>
      <c r="D221" s="46" t="s">
        <v>4508</v>
      </c>
      <c r="E221" s="46" t="s">
        <v>48</v>
      </c>
      <c r="F221" s="46" t="s">
        <v>5042</v>
      </c>
      <c r="G221" s="46" t="s">
        <v>5043</v>
      </c>
      <c r="H221" s="46" t="s">
        <v>5044</v>
      </c>
    </row>
    <row r="222" spans="2:8">
      <c r="B222" s="46" t="s">
        <v>184</v>
      </c>
      <c r="C222" s="46" t="s">
        <v>5045</v>
      </c>
      <c r="D222" s="46" t="s">
        <v>4518</v>
      </c>
      <c r="E222" s="46" t="s">
        <v>25</v>
      </c>
      <c r="F222" s="46" t="s">
        <v>5046</v>
      </c>
      <c r="G222" s="46" t="s">
        <v>5047</v>
      </c>
      <c r="H222" s="46" t="s">
        <v>5048</v>
      </c>
    </row>
    <row r="223" spans="2:8">
      <c r="B223" s="46" t="s">
        <v>184</v>
      </c>
      <c r="C223" s="46" t="s">
        <v>5049</v>
      </c>
      <c r="D223" s="46" t="s">
        <v>4528</v>
      </c>
      <c r="E223" s="46" t="s">
        <v>35</v>
      </c>
      <c r="F223" s="46" t="s">
        <v>5050</v>
      </c>
      <c r="G223" s="46" t="s">
        <v>5051</v>
      </c>
      <c r="H223" s="46" t="s">
        <v>5052</v>
      </c>
    </row>
    <row r="224" spans="2:8">
      <c r="B224" s="46" t="s">
        <v>184</v>
      </c>
      <c r="C224" s="46" t="s">
        <v>5053</v>
      </c>
      <c r="D224" s="46" t="s">
        <v>4538</v>
      </c>
      <c r="E224" s="46" t="s">
        <v>179</v>
      </c>
      <c r="F224" s="46" t="s">
        <v>5054</v>
      </c>
      <c r="G224" s="46" t="s">
        <v>5055</v>
      </c>
      <c r="H224" s="46" t="s">
        <v>5056</v>
      </c>
    </row>
    <row r="225" spans="2:8">
      <c r="B225" s="46" t="s">
        <v>184</v>
      </c>
      <c r="C225" s="46" t="s">
        <v>5057</v>
      </c>
      <c r="D225" s="46" t="s">
        <v>4548</v>
      </c>
    </row>
    <row r="226" spans="2:8">
      <c r="B226" s="46" t="s">
        <v>185</v>
      </c>
      <c r="C226" s="46" t="s">
        <v>5058</v>
      </c>
      <c r="D226" s="46" t="s">
        <v>4558</v>
      </c>
      <c r="E226" s="46" t="s">
        <v>48</v>
      </c>
      <c r="F226" s="46" t="s">
        <v>5059</v>
      </c>
      <c r="G226" s="46" t="s">
        <v>5060</v>
      </c>
      <c r="H226" s="46" t="s">
        <v>5061</v>
      </c>
    </row>
    <row r="227" spans="2:8">
      <c r="B227" s="46" t="s">
        <v>185</v>
      </c>
      <c r="C227" s="46" t="s">
        <v>5062</v>
      </c>
      <c r="D227" s="46" t="s">
        <v>4568</v>
      </c>
      <c r="E227" s="46" t="s">
        <v>25</v>
      </c>
      <c r="F227" s="46" t="s">
        <v>5063</v>
      </c>
      <c r="G227" s="46" t="s">
        <v>5064</v>
      </c>
      <c r="H227" s="46" t="s">
        <v>5065</v>
      </c>
    </row>
    <row r="228" spans="2:8">
      <c r="B228" s="46" t="s">
        <v>185</v>
      </c>
      <c r="C228" s="46" t="s">
        <v>5066</v>
      </c>
      <c r="D228" s="46" t="s">
        <v>4578</v>
      </c>
      <c r="E228" s="46" t="s">
        <v>35</v>
      </c>
      <c r="F228" s="46" t="s">
        <v>5067</v>
      </c>
      <c r="G228" s="46" t="s">
        <v>5068</v>
      </c>
      <c r="H228" s="46" t="s">
        <v>5069</v>
      </c>
    </row>
    <row r="229" spans="2:8">
      <c r="B229" s="46" t="s">
        <v>185</v>
      </c>
      <c r="C229" s="46" t="s">
        <v>5070</v>
      </c>
      <c r="D229" s="46" t="s">
        <v>4588</v>
      </c>
      <c r="E229" s="46" t="s">
        <v>57</v>
      </c>
      <c r="F229" s="46" t="s">
        <v>5071</v>
      </c>
      <c r="G229" s="46" t="s">
        <v>5072</v>
      </c>
      <c r="H229" s="46" t="s">
        <v>5073</v>
      </c>
    </row>
    <row r="230" spans="2:8">
      <c r="B230" s="46" t="s">
        <v>185</v>
      </c>
      <c r="C230" s="46" t="s">
        <v>5074</v>
      </c>
      <c r="D230" s="46" t="s">
        <v>4598</v>
      </c>
      <c r="E230" s="46" t="s">
        <v>181</v>
      </c>
      <c r="F230" s="46" t="s">
        <v>5075</v>
      </c>
      <c r="G230" s="46" t="s">
        <v>5076</v>
      </c>
      <c r="H230" s="46" t="s">
        <v>5077</v>
      </c>
    </row>
    <row r="231" spans="2:8">
      <c r="B231" s="46" t="s">
        <v>185</v>
      </c>
      <c r="C231" s="46" t="s">
        <v>5078</v>
      </c>
      <c r="D231" s="46" t="s">
        <v>4608</v>
      </c>
    </row>
    <row r="232" spans="2:8">
      <c r="B232" s="46" t="s">
        <v>186</v>
      </c>
      <c r="C232" s="46" t="s">
        <v>5079</v>
      </c>
      <c r="D232" s="46" t="s">
        <v>4618</v>
      </c>
      <c r="E232" s="46" t="s">
        <v>48</v>
      </c>
      <c r="F232" s="46" t="s">
        <v>5080</v>
      </c>
      <c r="G232" s="46" t="s">
        <v>5081</v>
      </c>
      <c r="H232" s="46" t="s">
        <v>5082</v>
      </c>
    </row>
    <row r="233" spans="2:8">
      <c r="B233" s="46" t="s">
        <v>186</v>
      </c>
      <c r="C233" s="46" t="s">
        <v>5083</v>
      </c>
      <c r="D233" s="46" t="s">
        <v>4628</v>
      </c>
      <c r="E233" s="46" t="s">
        <v>25</v>
      </c>
      <c r="F233" s="46" t="s">
        <v>5084</v>
      </c>
      <c r="G233" s="46" t="s">
        <v>5085</v>
      </c>
      <c r="H233" s="46" t="s">
        <v>5086</v>
      </c>
    </row>
    <row r="234" spans="2:8">
      <c r="B234" s="46" t="s">
        <v>186</v>
      </c>
      <c r="C234" s="46" t="s">
        <v>5087</v>
      </c>
      <c r="D234" s="46" t="s">
        <v>5088</v>
      </c>
      <c r="E234" s="46" t="s">
        <v>35</v>
      </c>
      <c r="F234" s="46" t="s">
        <v>5089</v>
      </c>
      <c r="G234" s="46" t="s">
        <v>5090</v>
      </c>
      <c r="H234" s="46" t="s">
        <v>5091</v>
      </c>
    </row>
    <row r="235" spans="2:8">
      <c r="B235" s="46" t="s">
        <v>186</v>
      </c>
      <c r="C235" s="46" t="s">
        <v>5092</v>
      </c>
      <c r="D235" s="46" t="s">
        <v>5093</v>
      </c>
      <c r="E235" s="46" t="s">
        <v>181</v>
      </c>
      <c r="F235" s="46" t="s">
        <v>5094</v>
      </c>
      <c r="G235" s="46" t="s">
        <v>5095</v>
      </c>
      <c r="H235" s="46" t="s">
        <v>5096</v>
      </c>
    </row>
    <row r="236" spans="2:8">
      <c r="B236" s="46" t="s">
        <v>186</v>
      </c>
      <c r="C236" s="46" t="s">
        <v>5097</v>
      </c>
      <c r="D236" s="46" t="s">
        <v>5098</v>
      </c>
    </row>
    <row r="237" spans="2:8">
      <c r="B237" s="46" t="s">
        <v>187</v>
      </c>
      <c r="C237" s="46" t="s">
        <v>5099</v>
      </c>
      <c r="D237" s="46" t="s">
        <v>5100</v>
      </c>
      <c r="E237" s="46" t="s">
        <v>50</v>
      </c>
      <c r="F237" s="46" t="s">
        <v>5101</v>
      </c>
      <c r="G237" s="46" t="s">
        <v>5102</v>
      </c>
      <c r="H237" s="46" t="s">
        <v>5103</v>
      </c>
    </row>
    <row r="238" spans="2:8">
      <c r="B238" s="46" t="s">
        <v>187</v>
      </c>
      <c r="C238" s="46" t="s">
        <v>5104</v>
      </c>
      <c r="D238" s="46" t="s">
        <v>5105</v>
      </c>
      <c r="E238" s="46" t="s">
        <v>30</v>
      </c>
      <c r="F238" s="46" t="s">
        <v>5106</v>
      </c>
      <c r="G238" s="46" t="s">
        <v>5107</v>
      </c>
      <c r="H238" s="46" t="s">
        <v>5108</v>
      </c>
    </row>
    <row r="239" spans="2:8">
      <c r="B239" s="46" t="s">
        <v>187</v>
      </c>
      <c r="C239" s="46" t="s">
        <v>5109</v>
      </c>
      <c r="D239" s="46" t="s">
        <v>5110</v>
      </c>
      <c r="E239" s="46" t="s">
        <v>39</v>
      </c>
      <c r="F239" s="46" t="s">
        <v>5111</v>
      </c>
      <c r="G239" s="46" t="s">
        <v>5112</v>
      </c>
      <c r="H239" s="46" t="s">
        <v>5113</v>
      </c>
    </row>
    <row r="240" spans="2:8">
      <c r="B240" s="46" t="s">
        <v>187</v>
      </c>
      <c r="C240" s="46" t="s">
        <v>5114</v>
      </c>
      <c r="D240" s="46" t="s">
        <v>5115</v>
      </c>
      <c r="E240" s="46" t="s">
        <v>179</v>
      </c>
      <c r="F240" s="46" t="s">
        <v>5116</v>
      </c>
      <c r="G240" s="46" t="s">
        <v>5117</v>
      </c>
      <c r="H240" s="46" t="s">
        <v>5118</v>
      </c>
    </row>
    <row r="241" spans="2:8">
      <c r="B241" s="46" t="s">
        <v>187</v>
      </c>
      <c r="C241" s="46" t="s">
        <v>5119</v>
      </c>
      <c r="D241" s="46" t="s">
        <v>5120</v>
      </c>
    </row>
    <row r="242" spans="2:8">
      <c r="B242" s="46" t="s">
        <v>188</v>
      </c>
      <c r="C242" s="46" t="s">
        <v>5121</v>
      </c>
      <c r="D242" s="46" t="s">
        <v>5122</v>
      </c>
      <c r="E242" s="46" t="s">
        <v>50</v>
      </c>
      <c r="F242" s="46" t="s">
        <v>5123</v>
      </c>
      <c r="G242" s="46" t="s">
        <v>5124</v>
      </c>
      <c r="H242" s="46" t="s">
        <v>5125</v>
      </c>
    </row>
    <row r="243" spans="2:8">
      <c r="B243" s="46" t="s">
        <v>188</v>
      </c>
      <c r="C243" s="46" t="s">
        <v>5126</v>
      </c>
      <c r="D243" s="46" t="s">
        <v>5127</v>
      </c>
      <c r="E243" s="46" t="s">
        <v>30</v>
      </c>
      <c r="F243" s="46" t="s">
        <v>5128</v>
      </c>
      <c r="G243" s="46" t="s">
        <v>5129</v>
      </c>
      <c r="H243" s="46" t="s">
        <v>5130</v>
      </c>
    </row>
    <row r="244" spans="2:8">
      <c r="B244" s="46" t="s">
        <v>188</v>
      </c>
      <c r="C244" s="46" t="s">
        <v>5131</v>
      </c>
      <c r="D244" s="46" t="s">
        <v>5132</v>
      </c>
      <c r="E244" s="46" t="s">
        <v>39</v>
      </c>
      <c r="F244" s="46" t="s">
        <v>5133</v>
      </c>
      <c r="G244" s="46" t="s">
        <v>5134</v>
      </c>
      <c r="H244" s="46" t="s">
        <v>5135</v>
      </c>
    </row>
    <row r="245" spans="2:8">
      <c r="B245" s="46" t="s">
        <v>188</v>
      </c>
      <c r="C245" s="46" t="s">
        <v>5136</v>
      </c>
      <c r="D245" s="46" t="s">
        <v>5137</v>
      </c>
      <c r="E245" s="46" t="s">
        <v>59</v>
      </c>
      <c r="F245" s="46" t="s">
        <v>5138</v>
      </c>
      <c r="G245" s="46" t="s">
        <v>5139</v>
      </c>
      <c r="H245" s="46" t="s">
        <v>5140</v>
      </c>
    </row>
    <row r="246" spans="2:8">
      <c r="B246" s="46" t="s">
        <v>188</v>
      </c>
      <c r="C246" s="46" t="s">
        <v>5141</v>
      </c>
      <c r="D246" s="46" t="s">
        <v>5142</v>
      </c>
      <c r="E246" s="46" t="s">
        <v>181</v>
      </c>
      <c r="F246" s="46" t="s">
        <v>5143</v>
      </c>
      <c r="G246" s="46" t="s">
        <v>5144</v>
      </c>
      <c r="H246" s="46" t="s">
        <v>5145</v>
      </c>
    </row>
    <row r="247" spans="2:8">
      <c r="B247" s="46" t="s">
        <v>188</v>
      </c>
      <c r="C247" s="46" t="s">
        <v>5146</v>
      </c>
      <c r="D247" s="46" t="s">
        <v>5147</v>
      </c>
    </row>
    <row r="248" spans="2:8">
      <c r="B248" s="46" t="s">
        <v>189</v>
      </c>
      <c r="C248" s="46" t="s">
        <v>5148</v>
      </c>
      <c r="D248" s="46" t="s">
        <v>5149</v>
      </c>
      <c r="E248" s="46" t="s">
        <v>50</v>
      </c>
      <c r="F248" s="46" t="s">
        <v>5150</v>
      </c>
      <c r="G248" s="46" t="s">
        <v>5151</v>
      </c>
      <c r="H248" s="46" t="s">
        <v>5152</v>
      </c>
    </row>
    <row r="249" spans="2:8">
      <c r="B249" s="46" t="s">
        <v>189</v>
      </c>
      <c r="C249" s="46" t="s">
        <v>5153</v>
      </c>
      <c r="D249" s="46" t="s">
        <v>5154</v>
      </c>
      <c r="E249" s="46" t="s">
        <v>30</v>
      </c>
      <c r="F249" s="46" t="s">
        <v>5155</v>
      </c>
      <c r="G249" s="46" t="s">
        <v>5156</v>
      </c>
      <c r="H249" s="46" t="s">
        <v>5157</v>
      </c>
    </row>
    <row r="250" spans="2:8">
      <c r="B250" s="46" t="s">
        <v>189</v>
      </c>
      <c r="C250" s="46" t="s">
        <v>5158</v>
      </c>
      <c r="D250" s="46" t="s">
        <v>5159</v>
      </c>
      <c r="E250" s="46" t="s">
        <v>39</v>
      </c>
      <c r="F250" s="46" t="s">
        <v>5160</v>
      </c>
      <c r="G250" s="46" t="s">
        <v>5161</v>
      </c>
      <c r="H250" s="46" t="s">
        <v>5162</v>
      </c>
    </row>
    <row r="251" spans="2:8">
      <c r="B251" s="46" t="s">
        <v>189</v>
      </c>
      <c r="C251" s="46" t="s">
        <v>5163</v>
      </c>
      <c r="D251" s="46" t="s">
        <v>5164</v>
      </c>
      <c r="E251" s="46" t="s">
        <v>181</v>
      </c>
      <c r="F251" s="46" t="s">
        <v>5165</v>
      </c>
      <c r="G251" s="46" t="s">
        <v>5166</v>
      </c>
      <c r="H251" s="46" t="s">
        <v>5167</v>
      </c>
    </row>
    <row r="252" spans="2:8">
      <c r="B252" s="46" t="s">
        <v>189</v>
      </c>
      <c r="C252" s="46" t="s">
        <v>5168</v>
      </c>
      <c r="D252" s="46" t="s">
        <v>5169</v>
      </c>
    </row>
    <row r="253" spans="2:8">
      <c r="B253" s="46" t="s">
        <v>190</v>
      </c>
      <c r="C253" s="46" t="s">
        <v>5170</v>
      </c>
      <c r="D253" s="46" t="s">
        <v>5171</v>
      </c>
      <c r="E253" s="46" t="s">
        <v>52</v>
      </c>
      <c r="F253" s="46" t="s">
        <v>5172</v>
      </c>
      <c r="G253" s="46" t="s">
        <v>5173</v>
      </c>
      <c r="H253" s="46" t="s">
        <v>5174</v>
      </c>
    </row>
    <row r="254" spans="2:8">
      <c r="B254" s="46" t="s">
        <v>190</v>
      </c>
      <c r="C254" s="46" t="s">
        <v>5175</v>
      </c>
      <c r="D254" s="46" t="s">
        <v>5176</v>
      </c>
      <c r="E254" s="46" t="s">
        <v>32</v>
      </c>
      <c r="F254" s="46" t="s">
        <v>5177</v>
      </c>
      <c r="G254" s="46" t="s">
        <v>5178</v>
      </c>
      <c r="H254" s="46" t="s">
        <v>5179</v>
      </c>
    </row>
    <row r="255" spans="2:8">
      <c r="B255" s="46" t="s">
        <v>190</v>
      </c>
      <c r="C255" s="46" t="s">
        <v>5180</v>
      </c>
      <c r="D255" s="46" t="s">
        <v>5181</v>
      </c>
      <c r="E255" s="46" t="s">
        <v>44</v>
      </c>
      <c r="F255" s="46" t="s">
        <v>5182</v>
      </c>
      <c r="G255" s="46" t="s">
        <v>5183</v>
      </c>
      <c r="H255" s="46" t="s">
        <v>5184</v>
      </c>
    </row>
    <row r="256" spans="2:8">
      <c r="B256" s="46" t="s">
        <v>190</v>
      </c>
      <c r="C256" s="46" t="s">
        <v>5185</v>
      </c>
      <c r="D256" s="46" t="s">
        <v>5186</v>
      </c>
      <c r="E256" s="46" t="s">
        <v>179</v>
      </c>
      <c r="F256" s="46" t="s">
        <v>5187</v>
      </c>
      <c r="G256" s="46" t="s">
        <v>5188</v>
      </c>
      <c r="H256" s="46" t="s">
        <v>5189</v>
      </c>
    </row>
    <row r="257" spans="2:8">
      <c r="B257" s="46" t="s">
        <v>190</v>
      </c>
      <c r="C257" s="46" t="s">
        <v>5190</v>
      </c>
      <c r="D257" s="46" t="s">
        <v>5191</v>
      </c>
    </row>
    <row r="258" spans="2:8">
      <c r="B258" s="46" t="s">
        <v>191</v>
      </c>
      <c r="C258" s="46" t="s">
        <v>5192</v>
      </c>
      <c r="D258" s="46" t="s">
        <v>5193</v>
      </c>
      <c r="E258" s="46" t="s">
        <v>52</v>
      </c>
      <c r="F258" s="46" t="s">
        <v>5194</v>
      </c>
      <c r="G258" s="46" t="s">
        <v>5195</v>
      </c>
      <c r="H258" s="46" t="s">
        <v>5196</v>
      </c>
    </row>
    <row r="259" spans="2:8">
      <c r="B259" s="46" t="s">
        <v>191</v>
      </c>
      <c r="C259" s="46" t="s">
        <v>5197</v>
      </c>
      <c r="D259" s="46" t="s">
        <v>5198</v>
      </c>
      <c r="E259" s="46" t="s">
        <v>32</v>
      </c>
      <c r="F259" s="46" t="s">
        <v>5199</v>
      </c>
      <c r="G259" s="46" t="s">
        <v>5200</v>
      </c>
      <c r="H259" s="46" t="s">
        <v>5201</v>
      </c>
    </row>
    <row r="260" spans="2:8">
      <c r="B260" s="46" t="s">
        <v>191</v>
      </c>
      <c r="C260" s="46" t="s">
        <v>5202</v>
      </c>
      <c r="D260" s="46" t="s">
        <v>5203</v>
      </c>
      <c r="E260" s="46" t="s">
        <v>44</v>
      </c>
      <c r="F260" s="46" t="s">
        <v>5204</v>
      </c>
      <c r="G260" s="46" t="s">
        <v>5205</v>
      </c>
      <c r="H260" s="46" t="s">
        <v>5206</v>
      </c>
    </row>
    <row r="261" spans="2:8">
      <c r="B261" s="46" t="s">
        <v>191</v>
      </c>
      <c r="C261" s="46" t="s">
        <v>5207</v>
      </c>
      <c r="D261" s="46" t="s">
        <v>5208</v>
      </c>
      <c r="E261" s="46" t="s">
        <v>41</v>
      </c>
      <c r="F261" s="46" t="s">
        <v>5209</v>
      </c>
      <c r="G261" s="46" t="s">
        <v>5210</v>
      </c>
      <c r="H261" s="46" t="s">
        <v>5211</v>
      </c>
    </row>
    <row r="262" spans="2:8">
      <c r="B262" s="46" t="s">
        <v>191</v>
      </c>
      <c r="C262" s="46" t="s">
        <v>5212</v>
      </c>
      <c r="D262" s="46" t="s">
        <v>5213</v>
      </c>
      <c r="E262" s="46" t="s">
        <v>181</v>
      </c>
      <c r="F262" s="46" t="s">
        <v>5214</v>
      </c>
      <c r="G262" s="46" t="s">
        <v>5215</v>
      </c>
      <c r="H262" s="46" t="s">
        <v>5216</v>
      </c>
    </row>
    <row r="263" spans="2:8">
      <c r="B263" s="46" t="s">
        <v>191</v>
      </c>
      <c r="C263" s="46" t="s">
        <v>5217</v>
      </c>
      <c r="D263" s="46" t="s">
        <v>5218</v>
      </c>
    </row>
    <row r="264" spans="2:8">
      <c r="B264" s="46" t="s">
        <v>192</v>
      </c>
      <c r="C264" s="46" t="s">
        <v>5219</v>
      </c>
      <c r="D264" s="46" t="s">
        <v>5220</v>
      </c>
      <c r="E264" s="46" t="s">
        <v>52</v>
      </c>
      <c r="F264" s="46" t="s">
        <v>5221</v>
      </c>
      <c r="G264" s="46" t="s">
        <v>5222</v>
      </c>
      <c r="H264" s="46" t="s">
        <v>5223</v>
      </c>
    </row>
    <row r="265" spans="2:8">
      <c r="B265" s="46" t="s">
        <v>192</v>
      </c>
      <c r="C265" s="46" t="s">
        <v>5224</v>
      </c>
      <c r="D265" s="46" t="s">
        <v>5225</v>
      </c>
      <c r="E265" s="46" t="s">
        <v>32</v>
      </c>
      <c r="F265" s="46" t="s">
        <v>5226</v>
      </c>
      <c r="G265" s="46" t="s">
        <v>5227</v>
      </c>
      <c r="H265" s="46" t="s">
        <v>5228</v>
      </c>
    </row>
    <row r="266" spans="2:8">
      <c r="B266" s="46" t="s">
        <v>192</v>
      </c>
      <c r="C266" s="46" t="s">
        <v>5229</v>
      </c>
      <c r="D266" s="46" t="s">
        <v>5230</v>
      </c>
      <c r="E266" s="46" t="s">
        <v>44</v>
      </c>
      <c r="F266" s="46" t="s">
        <v>5231</v>
      </c>
      <c r="G266" s="46" t="s">
        <v>5232</v>
      </c>
      <c r="H266" s="46" t="s">
        <v>5233</v>
      </c>
    </row>
    <row r="267" spans="2:8">
      <c r="B267" s="46" t="s">
        <v>192</v>
      </c>
      <c r="C267" s="46" t="s">
        <v>5234</v>
      </c>
      <c r="D267" s="46" t="s">
        <v>5235</v>
      </c>
      <c r="E267" s="46" t="s">
        <v>181</v>
      </c>
      <c r="F267" s="46" t="s">
        <v>5236</v>
      </c>
      <c r="G267" s="46" t="s">
        <v>5237</v>
      </c>
      <c r="H267" s="46" t="s">
        <v>5238</v>
      </c>
    </row>
    <row r="268" spans="2:8">
      <c r="B268" s="46" t="s">
        <v>192</v>
      </c>
      <c r="C268" s="46" t="s">
        <v>5239</v>
      </c>
      <c r="D268" s="46" t="s">
        <v>5240</v>
      </c>
    </row>
    <row r="269" spans="2:8">
      <c r="B269" s="46" t="s">
        <v>193</v>
      </c>
      <c r="C269" s="46" t="s">
        <v>5241</v>
      </c>
      <c r="D269" s="46" t="s">
        <v>5242</v>
      </c>
      <c r="E269" s="46" t="s">
        <v>181</v>
      </c>
      <c r="F269" s="46" t="s">
        <v>5243</v>
      </c>
      <c r="G269" s="46" t="s">
        <v>5244</v>
      </c>
      <c r="H269" s="46" t="s">
        <v>5245</v>
      </c>
    </row>
    <row r="270" spans="2:8">
      <c r="B270" s="46" t="s">
        <v>193</v>
      </c>
      <c r="C270" s="46" t="s">
        <v>5246</v>
      </c>
      <c r="D270" s="46" t="s">
        <v>5247</v>
      </c>
      <c r="E270" s="46" t="s">
        <v>82</v>
      </c>
      <c r="F270" s="46" t="s">
        <v>5248</v>
      </c>
      <c r="G270" s="46" t="s">
        <v>5249</v>
      </c>
      <c r="H270" s="46" t="s">
        <v>5250</v>
      </c>
    </row>
    <row r="271" spans="2:8">
      <c r="B271" s="46" t="s">
        <v>193</v>
      </c>
      <c r="C271" s="46" t="s">
        <v>5251</v>
      </c>
      <c r="D271" s="46" t="s">
        <v>5252</v>
      </c>
    </row>
    <row r="272" spans="2:8">
      <c r="B272" s="46" t="s">
        <v>194</v>
      </c>
      <c r="C272" s="46" t="s">
        <v>5253</v>
      </c>
      <c r="D272" s="46" t="s">
        <v>5254</v>
      </c>
      <c r="E272" s="46" t="s">
        <v>181</v>
      </c>
      <c r="F272" s="46" t="s">
        <v>5255</v>
      </c>
      <c r="G272" s="46" t="s">
        <v>5256</v>
      </c>
      <c r="H272" s="46" t="s">
        <v>5257</v>
      </c>
    </row>
    <row r="273" spans="2:8">
      <c r="B273" s="46" t="s">
        <v>194</v>
      </c>
      <c r="C273" s="46" t="s">
        <v>5258</v>
      </c>
      <c r="D273" s="46" t="s">
        <v>5259</v>
      </c>
      <c r="E273" s="46" t="s">
        <v>81</v>
      </c>
      <c r="F273" s="46" t="s">
        <v>5260</v>
      </c>
      <c r="G273" s="46" t="s">
        <v>5261</v>
      </c>
      <c r="H273" s="46" t="s">
        <v>5262</v>
      </c>
    </row>
    <row r="274" spans="2:8">
      <c r="B274" s="46" t="s">
        <v>194</v>
      </c>
      <c r="C274" s="46" t="s">
        <v>5263</v>
      </c>
      <c r="D274" s="46" t="s">
        <v>5264</v>
      </c>
    </row>
    <row r="275" spans="2:8">
      <c r="B275" s="46" t="s">
        <v>195</v>
      </c>
      <c r="C275" s="46" t="s">
        <v>5265</v>
      </c>
      <c r="D275" s="46" t="s">
        <v>5266</v>
      </c>
      <c r="E275" s="46" t="s">
        <v>196</v>
      </c>
      <c r="F275" s="46" t="s">
        <v>5267</v>
      </c>
      <c r="G275" s="46" t="s">
        <v>5268</v>
      </c>
      <c r="H275" s="46" t="s">
        <v>5269</v>
      </c>
    </row>
    <row r="276" spans="2:8">
      <c r="B276" s="46" t="s">
        <v>195</v>
      </c>
      <c r="C276" s="46" t="s">
        <v>5270</v>
      </c>
      <c r="D276" s="46" t="s">
        <v>5271</v>
      </c>
      <c r="E276" s="46" t="s">
        <v>78</v>
      </c>
      <c r="F276" s="46" t="s">
        <v>5272</v>
      </c>
      <c r="G276" s="46" t="s">
        <v>5273</v>
      </c>
      <c r="H276" s="46" t="s">
        <v>5274</v>
      </c>
    </row>
    <row r="277" spans="2:8">
      <c r="B277" s="46" t="s">
        <v>195</v>
      </c>
      <c r="C277" s="46" t="s">
        <v>5275</v>
      </c>
      <c r="D277" s="46" t="s">
        <v>5276</v>
      </c>
      <c r="E277" s="46" t="s">
        <v>86</v>
      </c>
      <c r="F277" s="46" t="s">
        <v>5277</v>
      </c>
      <c r="G277" s="46" t="s">
        <v>5278</v>
      </c>
      <c r="H277" s="46" t="s">
        <v>5279</v>
      </c>
    </row>
    <row r="278" spans="2:8">
      <c r="B278" s="46" t="s">
        <v>195</v>
      </c>
      <c r="C278" s="46" t="s">
        <v>5280</v>
      </c>
      <c r="D278" s="46" t="s">
        <v>5281</v>
      </c>
      <c r="E278" s="46" t="s">
        <v>82</v>
      </c>
      <c r="F278" s="46" t="s">
        <v>5282</v>
      </c>
      <c r="G278" s="46" t="s">
        <v>5283</v>
      </c>
      <c r="H278" s="46" t="s">
        <v>5284</v>
      </c>
    </row>
    <row r="279" spans="2:8">
      <c r="B279" s="46" t="s">
        <v>195</v>
      </c>
      <c r="C279" s="46" t="s">
        <v>5285</v>
      </c>
      <c r="D279" s="46" t="s">
        <v>5286</v>
      </c>
    </row>
    <row r="280" spans="2:8">
      <c r="B280" s="46" t="s">
        <v>197</v>
      </c>
      <c r="C280" s="46" t="s">
        <v>5287</v>
      </c>
      <c r="D280" s="46" t="s">
        <v>5288</v>
      </c>
      <c r="E280" s="46" t="s">
        <v>181</v>
      </c>
      <c r="F280" s="46" t="s">
        <v>5289</v>
      </c>
      <c r="G280" s="46" t="s">
        <v>5290</v>
      </c>
      <c r="H280" s="46" t="s">
        <v>5291</v>
      </c>
    </row>
    <row r="281" spans="2:8">
      <c r="B281" s="46" t="s">
        <v>197</v>
      </c>
      <c r="C281" s="46" t="s">
        <v>5292</v>
      </c>
      <c r="D281" s="46" t="s">
        <v>5293</v>
      </c>
      <c r="E281" s="46" t="s">
        <v>78</v>
      </c>
      <c r="F281" s="46" t="s">
        <v>5294</v>
      </c>
      <c r="G281" s="46" t="s">
        <v>5295</v>
      </c>
      <c r="H281" s="46" t="s">
        <v>5296</v>
      </c>
    </row>
    <row r="282" spans="2:8">
      <c r="B282" s="46" t="s">
        <v>197</v>
      </c>
      <c r="C282" s="46" t="s">
        <v>5297</v>
      </c>
      <c r="D282" s="46" t="s">
        <v>5298</v>
      </c>
      <c r="E282" s="46" t="s">
        <v>86</v>
      </c>
      <c r="F282" s="46" t="s">
        <v>5299</v>
      </c>
      <c r="G282" s="46" t="s">
        <v>5300</v>
      </c>
      <c r="H282" s="46" t="s">
        <v>5301</v>
      </c>
    </row>
    <row r="283" spans="2:8">
      <c r="B283" s="46" t="s">
        <v>197</v>
      </c>
      <c r="C283" s="46" t="s">
        <v>5302</v>
      </c>
      <c r="D283" s="46" t="s">
        <v>5303</v>
      </c>
      <c r="E283" s="46" t="s">
        <v>82</v>
      </c>
      <c r="F283" s="46" t="s">
        <v>5304</v>
      </c>
      <c r="G283" s="46" t="s">
        <v>5305</v>
      </c>
      <c r="H283" s="46" t="s">
        <v>5306</v>
      </c>
    </row>
    <row r="284" spans="2:8">
      <c r="B284" s="46" t="s">
        <v>197</v>
      </c>
      <c r="C284" s="46" t="s">
        <v>5307</v>
      </c>
      <c r="D284" s="46" t="s">
        <v>5308</v>
      </c>
    </row>
    <row r="285" spans="2:8">
      <c r="B285" s="46" t="s">
        <v>198</v>
      </c>
      <c r="C285" s="46" t="s">
        <v>5309</v>
      </c>
      <c r="D285" s="46" t="s">
        <v>5310</v>
      </c>
      <c r="E285" s="46" t="s">
        <v>196</v>
      </c>
      <c r="F285" s="46" t="s">
        <v>5311</v>
      </c>
      <c r="G285" s="46" t="s">
        <v>5312</v>
      </c>
      <c r="H285" s="46" t="s">
        <v>5313</v>
      </c>
    </row>
    <row r="286" spans="2:8">
      <c r="B286" s="46" t="s">
        <v>198</v>
      </c>
      <c r="C286" s="46" t="s">
        <v>5314</v>
      </c>
      <c r="D286" s="46" t="s">
        <v>5315</v>
      </c>
      <c r="E286" s="46" t="s">
        <v>77</v>
      </c>
      <c r="F286" s="46" t="s">
        <v>5316</v>
      </c>
      <c r="G286" s="46" t="s">
        <v>5317</v>
      </c>
      <c r="H286" s="46" t="s">
        <v>5318</v>
      </c>
    </row>
    <row r="287" spans="2:8">
      <c r="B287" s="46" t="s">
        <v>198</v>
      </c>
      <c r="C287" s="46" t="s">
        <v>5319</v>
      </c>
      <c r="D287" s="46" t="s">
        <v>5320</v>
      </c>
      <c r="E287" s="46" t="s">
        <v>85</v>
      </c>
      <c r="F287" s="46" t="s">
        <v>5321</v>
      </c>
      <c r="G287" s="46" t="s">
        <v>5322</v>
      </c>
      <c r="H287" s="46" t="s">
        <v>5323</v>
      </c>
    </row>
    <row r="288" spans="2:8">
      <c r="B288" s="46" t="s">
        <v>198</v>
      </c>
      <c r="C288" s="46" t="s">
        <v>5324</v>
      </c>
      <c r="D288" s="46" t="s">
        <v>5325</v>
      </c>
      <c r="E288" s="46" t="s">
        <v>81</v>
      </c>
      <c r="F288" s="46" t="s">
        <v>5326</v>
      </c>
      <c r="G288" s="46" t="s">
        <v>5327</v>
      </c>
      <c r="H288" s="46" t="s">
        <v>5328</v>
      </c>
    </row>
    <row r="289" spans="2:8">
      <c r="B289" s="46" t="s">
        <v>198</v>
      </c>
      <c r="C289" s="46" t="s">
        <v>5329</v>
      </c>
      <c r="D289" s="46" t="s">
        <v>5330</v>
      </c>
    </row>
    <row r="290" spans="2:8">
      <c r="B290" s="46" t="s">
        <v>199</v>
      </c>
      <c r="C290" s="46" t="s">
        <v>5331</v>
      </c>
      <c r="D290" s="46" t="s">
        <v>5332</v>
      </c>
      <c r="E290" s="46" t="s">
        <v>181</v>
      </c>
      <c r="F290" s="46" t="s">
        <v>5333</v>
      </c>
      <c r="G290" s="46" t="s">
        <v>5334</v>
      </c>
      <c r="H290" s="46" t="s">
        <v>5335</v>
      </c>
    </row>
    <row r="291" spans="2:8">
      <c r="B291" s="46" t="s">
        <v>199</v>
      </c>
      <c r="C291" s="46" t="s">
        <v>5336</v>
      </c>
      <c r="D291" s="46" t="s">
        <v>5337</v>
      </c>
      <c r="E291" s="46" t="s">
        <v>77</v>
      </c>
      <c r="F291" s="46" t="s">
        <v>5338</v>
      </c>
      <c r="G291" s="46" t="s">
        <v>5339</v>
      </c>
      <c r="H291" s="46" t="s">
        <v>5340</v>
      </c>
    </row>
    <row r="292" spans="2:8">
      <c r="B292" s="46" t="s">
        <v>199</v>
      </c>
      <c r="C292" s="46" t="s">
        <v>5341</v>
      </c>
      <c r="D292" s="46" t="s">
        <v>5342</v>
      </c>
      <c r="E292" s="46" t="s">
        <v>85</v>
      </c>
      <c r="F292" s="46" t="s">
        <v>5343</v>
      </c>
      <c r="G292" s="46" t="s">
        <v>5344</v>
      </c>
      <c r="H292" s="46" t="s">
        <v>5345</v>
      </c>
    </row>
    <row r="293" spans="2:8">
      <c r="B293" s="46" t="s">
        <v>199</v>
      </c>
      <c r="C293" s="46" t="s">
        <v>5346</v>
      </c>
      <c r="D293" s="46" t="s">
        <v>5347</v>
      </c>
      <c r="E293" s="46" t="s">
        <v>81</v>
      </c>
      <c r="F293" s="46" t="s">
        <v>5348</v>
      </c>
      <c r="G293" s="46" t="s">
        <v>5349</v>
      </c>
      <c r="H293" s="46" t="s">
        <v>5350</v>
      </c>
    </row>
    <row r="294" spans="2:8">
      <c r="B294" s="46" t="s">
        <v>199</v>
      </c>
      <c r="C294" s="46" t="s">
        <v>5351</v>
      </c>
      <c r="D294" s="46" t="s">
        <v>5352</v>
      </c>
    </row>
    <row r="295" spans="2:8">
      <c r="B295" s="46" t="s">
        <v>200</v>
      </c>
      <c r="C295" s="46" t="s">
        <v>5353</v>
      </c>
      <c r="D295" s="46" t="s">
        <v>5354</v>
      </c>
      <c r="E295" s="46" t="s">
        <v>181</v>
      </c>
      <c r="F295" s="46" t="s">
        <v>5355</v>
      </c>
      <c r="G295" s="46" t="s">
        <v>5356</v>
      </c>
      <c r="H295" s="46" t="s">
        <v>5357</v>
      </c>
    </row>
    <row r="296" spans="2:8">
      <c r="B296" s="46" t="s">
        <v>200</v>
      </c>
      <c r="C296" s="46" t="s">
        <v>5358</v>
      </c>
      <c r="D296" s="46" t="s">
        <v>5359</v>
      </c>
      <c r="E296" s="46" t="s">
        <v>78</v>
      </c>
      <c r="F296" s="46" t="s">
        <v>5360</v>
      </c>
      <c r="G296" s="46" t="s">
        <v>5361</v>
      </c>
      <c r="H296" s="46" t="s">
        <v>5362</v>
      </c>
    </row>
    <row r="297" spans="2:8">
      <c r="B297" s="46" t="s">
        <v>200</v>
      </c>
      <c r="C297" s="46" t="s">
        <v>5363</v>
      </c>
      <c r="D297" s="46" t="s">
        <v>5364</v>
      </c>
      <c r="E297" s="46" t="s">
        <v>82</v>
      </c>
      <c r="F297" s="46" t="s">
        <v>5365</v>
      </c>
      <c r="G297" s="46" t="s">
        <v>5366</v>
      </c>
      <c r="H297" s="46" t="s">
        <v>5367</v>
      </c>
    </row>
    <row r="298" spans="2:8">
      <c r="B298" s="46" t="s">
        <v>200</v>
      </c>
      <c r="C298" s="46" t="s">
        <v>5368</v>
      </c>
      <c r="D298" s="46" t="s">
        <v>5369</v>
      </c>
    </row>
    <row r="299" spans="2:8">
      <c r="B299" s="46" t="s">
        <v>201</v>
      </c>
      <c r="C299" s="46" t="s">
        <v>5370</v>
      </c>
      <c r="D299" s="46" t="s">
        <v>5371</v>
      </c>
      <c r="E299" s="46" t="s">
        <v>181</v>
      </c>
      <c r="F299" s="46" t="s">
        <v>5372</v>
      </c>
      <c r="G299" s="46" t="s">
        <v>5373</v>
      </c>
      <c r="H299" s="46" t="s">
        <v>5374</v>
      </c>
    </row>
    <row r="300" spans="2:8">
      <c r="B300" s="46" t="s">
        <v>201</v>
      </c>
      <c r="C300" s="46" t="s">
        <v>5375</v>
      </c>
      <c r="D300" s="46" t="s">
        <v>5376</v>
      </c>
      <c r="E300" s="46" t="s">
        <v>77</v>
      </c>
      <c r="F300" s="46" t="s">
        <v>5377</v>
      </c>
      <c r="G300" s="46" t="s">
        <v>5378</v>
      </c>
      <c r="H300" s="46" t="s">
        <v>5379</v>
      </c>
    </row>
    <row r="301" spans="2:8">
      <c r="B301" s="46" t="s">
        <v>201</v>
      </c>
      <c r="C301" s="46" t="s">
        <v>5380</v>
      </c>
      <c r="D301" s="46" t="s">
        <v>5381</v>
      </c>
      <c r="E301" s="46" t="s">
        <v>81</v>
      </c>
      <c r="F301" s="46" t="s">
        <v>5382</v>
      </c>
      <c r="G301" s="46" t="s">
        <v>5383</v>
      </c>
      <c r="H301" s="46" t="s">
        <v>5384</v>
      </c>
    </row>
    <row r="302" spans="2:8">
      <c r="B302" s="46" t="s">
        <v>201</v>
      </c>
      <c r="C302" s="46" t="s">
        <v>5385</v>
      </c>
      <c r="D302" s="46" t="s">
        <v>5386</v>
      </c>
    </row>
    <row r="303" spans="2:8">
      <c r="B303" s="46" t="s">
        <v>202</v>
      </c>
      <c r="C303" s="46" t="s">
        <v>5387</v>
      </c>
      <c r="D303" s="46" t="s">
        <v>5388</v>
      </c>
      <c r="E303" s="46" t="s">
        <v>181</v>
      </c>
      <c r="F303" s="46" t="s">
        <v>5389</v>
      </c>
      <c r="G303" s="46" t="s">
        <v>5390</v>
      </c>
      <c r="H303" s="46" t="s">
        <v>5391</v>
      </c>
    </row>
    <row r="304" spans="2:8">
      <c r="B304" s="46" t="s">
        <v>202</v>
      </c>
      <c r="C304" s="46" t="s">
        <v>5392</v>
      </c>
      <c r="D304" s="46" t="s">
        <v>5393</v>
      </c>
      <c r="E304" s="46" t="s">
        <v>111</v>
      </c>
      <c r="F304" s="46" t="s">
        <v>5394</v>
      </c>
      <c r="G304" s="46" t="s">
        <v>5395</v>
      </c>
      <c r="H304" s="46" t="s">
        <v>5396</v>
      </c>
    </row>
    <row r="305" spans="2:8">
      <c r="B305" s="46" t="s">
        <v>202</v>
      </c>
      <c r="C305" s="46" t="s">
        <v>5397</v>
      </c>
      <c r="D305" s="46" t="s">
        <v>5398</v>
      </c>
      <c r="E305" s="46" t="s">
        <v>116</v>
      </c>
      <c r="F305" s="46" t="s">
        <v>5399</v>
      </c>
      <c r="G305" s="46" t="s">
        <v>5400</v>
      </c>
      <c r="H305" s="46" t="s">
        <v>5401</v>
      </c>
    </row>
    <row r="306" spans="2:8">
      <c r="B306" s="46" t="s">
        <v>202</v>
      </c>
      <c r="C306" s="46" t="s">
        <v>5402</v>
      </c>
      <c r="D306" s="46" t="s">
        <v>5403</v>
      </c>
    </row>
    <row r="307" spans="2:8">
      <c r="B307" s="46" t="s">
        <v>203</v>
      </c>
      <c r="C307" s="46" t="s">
        <v>5404</v>
      </c>
      <c r="D307" s="46" t="s">
        <v>5405</v>
      </c>
      <c r="E307" s="46" t="s">
        <v>181</v>
      </c>
      <c r="F307" s="46" t="s">
        <v>5406</v>
      </c>
      <c r="G307" s="46" t="s">
        <v>5407</v>
      </c>
      <c r="H307" s="46" t="s">
        <v>5408</v>
      </c>
    </row>
    <row r="308" spans="2:8">
      <c r="B308" s="46" t="s">
        <v>203</v>
      </c>
      <c r="C308" s="46" t="s">
        <v>5409</v>
      </c>
      <c r="D308" s="46" t="s">
        <v>5410</v>
      </c>
      <c r="E308" s="46" t="s">
        <v>116</v>
      </c>
      <c r="F308" s="46" t="s">
        <v>5411</v>
      </c>
      <c r="G308" s="46" t="s">
        <v>5412</v>
      </c>
      <c r="H308" s="46" t="s">
        <v>5413</v>
      </c>
    </row>
    <row r="309" spans="2:8">
      <c r="B309" s="46" t="s">
        <v>203</v>
      </c>
      <c r="C309" s="46" t="s">
        <v>5414</v>
      </c>
      <c r="D309" s="46" t="s">
        <v>5415</v>
      </c>
    </row>
    <row r="310" spans="2:8">
      <c r="B310" s="46" t="s">
        <v>204</v>
      </c>
      <c r="C310" s="46" t="s">
        <v>5416</v>
      </c>
      <c r="D310" s="46" t="s">
        <v>5417</v>
      </c>
      <c r="E310" s="46" t="s">
        <v>181</v>
      </c>
      <c r="F310" s="46" t="s">
        <v>5418</v>
      </c>
      <c r="G310" s="46" t="s">
        <v>5419</v>
      </c>
      <c r="H310" s="46" t="s">
        <v>5420</v>
      </c>
    </row>
    <row r="311" spans="2:8">
      <c r="B311" s="46" t="s">
        <v>204</v>
      </c>
      <c r="C311" s="46" t="s">
        <v>5421</v>
      </c>
      <c r="D311" s="46" t="s">
        <v>5422</v>
      </c>
      <c r="E311" s="46" t="s">
        <v>111</v>
      </c>
      <c r="F311" s="46" t="s">
        <v>5423</v>
      </c>
      <c r="G311" s="46" t="s">
        <v>5424</v>
      </c>
      <c r="H311" s="46" t="s">
        <v>5425</v>
      </c>
    </row>
    <row r="312" spans="2:8">
      <c r="B312" s="46" t="s">
        <v>204</v>
      </c>
      <c r="C312" s="46" t="s">
        <v>5426</v>
      </c>
      <c r="D312" s="46" t="s">
        <v>5427</v>
      </c>
      <c r="E312" s="46" t="s">
        <v>116</v>
      </c>
      <c r="F312" s="46" t="s">
        <v>5428</v>
      </c>
      <c r="G312" s="46" t="s">
        <v>5429</v>
      </c>
      <c r="H312" s="46" t="s">
        <v>5430</v>
      </c>
    </row>
    <row r="313" spans="2:8">
      <c r="B313" s="46" t="s">
        <v>204</v>
      </c>
      <c r="C313" s="46" t="s">
        <v>5431</v>
      </c>
      <c r="D313" s="46" t="s">
        <v>5432</v>
      </c>
    </row>
    <row r="314" spans="2:8">
      <c r="B314" s="46" t="s">
        <v>205</v>
      </c>
      <c r="C314" s="46" t="s">
        <v>5433</v>
      </c>
      <c r="D314" s="46" t="s">
        <v>5434</v>
      </c>
      <c r="E314" s="46" t="s">
        <v>181</v>
      </c>
      <c r="F314" s="46" t="s">
        <v>5435</v>
      </c>
      <c r="G314" s="46" t="s">
        <v>5436</v>
      </c>
      <c r="H314" s="46" t="s">
        <v>5437</v>
      </c>
    </row>
    <row r="315" spans="2:8">
      <c r="B315" s="46" t="s">
        <v>205</v>
      </c>
      <c r="C315" s="46" t="s">
        <v>5438</v>
      </c>
      <c r="D315" s="46" t="s">
        <v>5439</v>
      </c>
      <c r="E315" s="46" t="s">
        <v>113</v>
      </c>
      <c r="F315" s="46" t="s">
        <v>5440</v>
      </c>
      <c r="G315" s="46" t="s">
        <v>5441</v>
      </c>
      <c r="H315" s="46" t="s">
        <v>5442</v>
      </c>
    </row>
    <row r="316" spans="2:8">
      <c r="B316" s="46" t="s">
        <v>205</v>
      </c>
      <c r="C316" s="46" t="s">
        <v>5443</v>
      </c>
      <c r="D316" s="46" t="s">
        <v>5444</v>
      </c>
      <c r="E316" s="46" t="s">
        <v>118</v>
      </c>
      <c r="F316" s="46" t="s">
        <v>5445</v>
      </c>
      <c r="G316" s="46" t="s">
        <v>5446</v>
      </c>
      <c r="H316" s="46" t="s">
        <v>5447</v>
      </c>
    </row>
    <row r="317" spans="2:8">
      <c r="B317" s="46" t="s">
        <v>205</v>
      </c>
      <c r="C317" s="46" t="s">
        <v>5448</v>
      </c>
      <c r="D317" s="46" t="s">
        <v>5449</v>
      </c>
    </row>
    <row r="318" spans="2:8">
      <c r="B318" s="46" t="s">
        <v>206</v>
      </c>
      <c r="C318" s="46" t="s">
        <v>5450</v>
      </c>
      <c r="D318" s="46" t="s">
        <v>5451</v>
      </c>
      <c r="E318" s="46" t="s">
        <v>181</v>
      </c>
      <c r="F318" s="46" t="s">
        <v>5452</v>
      </c>
      <c r="G318" s="46" t="s">
        <v>5453</v>
      </c>
      <c r="H318" s="46" t="s">
        <v>5454</v>
      </c>
    </row>
    <row r="319" spans="2:8">
      <c r="B319" s="46" t="s">
        <v>206</v>
      </c>
      <c r="C319" s="46" t="s">
        <v>5455</v>
      </c>
      <c r="D319" s="46" t="s">
        <v>5456</v>
      </c>
      <c r="E319" s="46" t="s">
        <v>118</v>
      </c>
      <c r="F319" s="46" t="s">
        <v>5457</v>
      </c>
      <c r="G319" s="46" t="s">
        <v>5458</v>
      </c>
      <c r="H319" s="46" t="s">
        <v>5459</v>
      </c>
    </row>
    <row r="320" spans="2:8">
      <c r="B320" s="46" t="s">
        <v>206</v>
      </c>
      <c r="C320" s="46" t="s">
        <v>5460</v>
      </c>
      <c r="D320" s="46" t="s">
        <v>5461</v>
      </c>
    </row>
    <row r="321" spans="2:8">
      <c r="B321" s="46" t="s">
        <v>207</v>
      </c>
      <c r="C321" s="46" t="s">
        <v>5462</v>
      </c>
      <c r="D321" s="46" t="s">
        <v>5463</v>
      </c>
      <c r="E321" s="46" t="s">
        <v>181</v>
      </c>
      <c r="F321" s="46" t="s">
        <v>5464</v>
      </c>
      <c r="G321" s="46" t="s">
        <v>5465</v>
      </c>
      <c r="H321" s="46" t="s">
        <v>5466</v>
      </c>
    </row>
    <row r="322" spans="2:8">
      <c r="B322" s="46" t="s">
        <v>207</v>
      </c>
      <c r="C322" s="46" t="s">
        <v>5467</v>
      </c>
      <c r="D322" s="46" t="s">
        <v>5468</v>
      </c>
      <c r="E322" s="46" t="s">
        <v>113</v>
      </c>
      <c r="F322" s="46" t="s">
        <v>5469</v>
      </c>
      <c r="G322" s="46" t="s">
        <v>5470</v>
      </c>
      <c r="H322" s="46" t="s">
        <v>5471</v>
      </c>
    </row>
    <row r="323" spans="2:8">
      <c r="B323" s="46" t="s">
        <v>207</v>
      </c>
      <c r="C323" s="46" t="s">
        <v>5472</v>
      </c>
      <c r="D323" s="46" t="s">
        <v>5473</v>
      </c>
      <c r="E323" s="46" t="s">
        <v>118</v>
      </c>
      <c r="F323" s="46" t="s">
        <v>5474</v>
      </c>
      <c r="G323" s="46" t="s">
        <v>5475</v>
      </c>
      <c r="H323" s="46" t="s">
        <v>5476</v>
      </c>
    </row>
    <row r="324" spans="2:8">
      <c r="B324" s="46" t="s">
        <v>207</v>
      </c>
      <c r="C324" s="46" t="s">
        <v>5477</v>
      </c>
      <c r="D324" s="46" t="s">
        <v>5478</v>
      </c>
    </row>
    <row r="325" spans="2:8">
      <c r="B325" s="46" t="s">
        <v>208</v>
      </c>
      <c r="C325" s="46" t="s">
        <v>5479</v>
      </c>
      <c r="D325" s="46" t="s">
        <v>5480</v>
      </c>
      <c r="E325" s="46" t="s">
        <v>181</v>
      </c>
      <c r="F325" s="46" t="s">
        <v>5481</v>
      </c>
      <c r="G325" s="46" t="s">
        <v>5482</v>
      </c>
      <c r="H325" s="46" t="s">
        <v>5483</v>
      </c>
    </row>
    <row r="326" spans="2:8">
      <c r="B326" s="46" t="s">
        <v>208</v>
      </c>
      <c r="C326" s="46" t="s">
        <v>5484</v>
      </c>
      <c r="D326" s="46" t="s">
        <v>5485</v>
      </c>
      <c r="E326" s="46" t="s">
        <v>112</v>
      </c>
      <c r="F326" s="46" t="s">
        <v>5486</v>
      </c>
      <c r="G326" s="46" t="s">
        <v>5487</v>
      </c>
      <c r="H326" s="46" t="s">
        <v>5488</v>
      </c>
    </row>
    <row r="327" spans="2:8">
      <c r="B327" s="46" t="s">
        <v>208</v>
      </c>
      <c r="C327" s="46" t="s">
        <v>5489</v>
      </c>
      <c r="D327" s="46" t="s">
        <v>5490</v>
      </c>
      <c r="E327" s="46" t="s">
        <v>117</v>
      </c>
      <c r="F327" s="46" t="s">
        <v>5491</v>
      </c>
      <c r="G327" s="46" t="s">
        <v>5492</v>
      </c>
      <c r="H327" s="46" t="s">
        <v>5493</v>
      </c>
    </row>
    <row r="328" spans="2:8">
      <c r="B328" s="46" t="s">
        <v>208</v>
      </c>
      <c r="C328" s="46" t="s">
        <v>5494</v>
      </c>
      <c r="D328" s="46" t="s">
        <v>5495</v>
      </c>
    </row>
    <row r="329" spans="2:8">
      <c r="B329" s="46" t="s">
        <v>209</v>
      </c>
      <c r="C329" s="46" t="s">
        <v>5496</v>
      </c>
      <c r="D329" s="46" t="s">
        <v>5497</v>
      </c>
      <c r="E329" s="46" t="s">
        <v>181</v>
      </c>
      <c r="F329" s="46" t="s">
        <v>5498</v>
      </c>
      <c r="G329" s="46" t="s">
        <v>5499</v>
      </c>
      <c r="H329" s="46" t="s">
        <v>5500</v>
      </c>
    </row>
    <row r="330" spans="2:8">
      <c r="B330" s="46" t="s">
        <v>209</v>
      </c>
      <c r="C330" s="46" t="s">
        <v>5501</v>
      </c>
      <c r="D330" s="46" t="s">
        <v>5502</v>
      </c>
      <c r="E330" s="46" t="s">
        <v>117</v>
      </c>
      <c r="F330" s="46" t="s">
        <v>5503</v>
      </c>
      <c r="G330" s="46" t="s">
        <v>5504</v>
      </c>
      <c r="H330" s="46" t="s">
        <v>5505</v>
      </c>
    </row>
    <row r="331" spans="2:8">
      <c r="B331" s="46" t="s">
        <v>209</v>
      </c>
      <c r="C331" s="46" t="s">
        <v>5506</v>
      </c>
      <c r="D331" s="46" t="s">
        <v>5507</v>
      </c>
    </row>
    <row r="332" spans="2:8">
      <c r="B332" s="46" t="s">
        <v>210</v>
      </c>
      <c r="C332" s="46" t="s">
        <v>5508</v>
      </c>
      <c r="D332" s="46" t="s">
        <v>5509</v>
      </c>
      <c r="E332" s="46" t="s">
        <v>181</v>
      </c>
      <c r="F332" s="46" t="s">
        <v>5510</v>
      </c>
      <c r="G332" s="46" t="s">
        <v>5511</v>
      </c>
      <c r="H332" s="46" t="s">
        <v>5512</v>
      </c>
    </row>
    <row r="333" spans="2:8">
      <c r="B333" s="46" t="s">
        <v>210</v>
      </c>
      <c r="C333" s="46" t="s">
        <v>5513</v>
      </c>
      <c r="D333" s="46" t="s">
        <v>5514</v>
      </c>
      <c r="E333" s="46" t="s">
        <v>112</v>
      </c>
      <c r="F333" s="46" t="s">
        <v>5515</v>
      </c>
      <c r="G333" s="46" t="s">
        <v>5516</v>
      </c>
      <c r="H333" s="46" t="s">
        <v>5517</v>
      </c>
    </row>
    <row r="334" spans="2:8">
      <c r="B334" s="46" t="s">
        <v>210</v>
      </c>
      <c r="C334" s="46" t="s">
        <v>5518</v>
      </c>
      <c r="D334" s="46" t="s">
        <v>5519</v>
      </c>
      <c r="E334" s="46" t="s">
        <v>117</v>
      </c>
      <c r="F334" s="46" t="s">
        <v>5520</v>
      </c>
      <c r="G334" s="46" t="s">
        <v>5521</v>
      </c>
      <c r="H334" s="46" t="s">
        <v>5522</v>
      </c>
    </row>
    <row r="335" spans="2:8">
      <c r="B335" s="46" t="s">
        <v>210</v>
      </c>
      <c r="C335" s="46" t="s">
        <v>5523</v>
      </c>
      <c r="D335" s="46" t="s">
        <v>5524</v>
      </c>
    </row>
    <row r="336" spans="2:8">
      <c r="B336" s="46" t="s">
        <v>211</v>
      </c>
      <c r="C336" s="46" t="s">
        <v>5525</v>
      </c>
      <c r="D336" s="46" t="s">
        <v>5526</v>
      </c>
      <c r="E336" s="46" t="s">
        <v>181</v>
      </c>
      <c r="F336" s="46" t="s">
        <v>5527</v>
      </c>
      <c r="G336" s="46" t="s">
        <v>5528</v>
      </c>
      <c r="H336" s="46" t="s">
        <v>5529</v>
      </c>
    </row>
    <row r="337" spans="2:8">
      <c r="B337" s="46" t="s">
        <v>211</v>
      </c>
      <c r="C337" s="46" t="s">
        <v>5530</v>
      </c>
      <c r="D337" s="46" t="s">
        <v>5531</v>
      </c>
      <c r="E337" s="46" t="s">
        <v>114</v>
      </c>
      <c r="F337" s="46" t="s">
        <v>5532</v>
      </c>
      <c r="G337" s="46" t="s">
        <v>5533</v>
      </c>
      <c r="H337" s="46" t="s">
        <v>5534</v>
      </c>
    </row>
    <row r="338" spans="2:8">
      <c r="B338" s="46" t="s">
        <v>211</v>
      </c>
      <c r="C338" s="46" t="s">
        <v>5535</v>
      </c>
      <c r="D338" s="46" t="s">
        <v>5536</v>
      </c>
      <c r="E338" s="46" t="s">
        <v>119</v>
      </c>
      <c r="F338" s="46" t="s">
        <v>5537</v>
      </c>
      <c r="G338" s="46" t="s">
        <v>5538</v>
      </c>
      <c r="H338" s="46" t="s">
        <v>5539</v>
      </c>
    </row>
    <row r="339" spans="2:8">
      <c r="B339" s="46" t="s">
        <v>211</v>
      </c>
      <c r="C339" s="46" t="s">
        <v>5540</v>
      </c>
      <c r="D339" s="46" t="s">
        <v>5541</v>
      </c>
    </row>
    <row r="340" spans="2:8">
      <c r="B340" s="46" t="s">
        <v>212</v>
      </c>
      <c r="C340" s="46" t="s">
        <v>5542</v>
      </c>
      <c r="D340" s="46" t="s">
        <v>5543</v>
      </c>
      <c r="E340" s="46" t="s">
        <v>181</v>
      </c>
      <c r="F340" s="46" t="s">
        <v>5544</v>
      </c>
      <c r="G340" s="46" t="s">
        <v>5545</v>
      </c>
      <c r="H340" s="46" t="s">
        <v>1095</v>
      </c>
    </row>
    <row r="341" spans="2:8">
      <c r="B341" s="46" t="s">
        <v>212</v>
      </c>
      <c r="C341" s="46" t="s">
        <v>5546</v>
      </c>
      <c r="D341" s="46" t="s">
        <v>5547</v>
      </c>
      <c r="E341" s="46" t="s">
        <v>119</v>
      </c>
      <c r="F341" s="46" t="s">
        <v>5548</v>
      </c>
      <c r="G341" s="46" t="s">
        <v>5549</v>
      </c>
      <c r="H341" s="46" t="s">
        <v>5550</v>
      </c>
    </row>
    <row r="342" spans="2:8">
      <c r="B342" s="46" t="s">
        <v>212</v>
      </c>
      <c r="C342" s="46" t="s">
        <v>5551</v>
      </c>
      <c r="D342" s="46" t="s">
        <v>5552</v>
      </c>
    </row>
    <row r="343" spans="2:8">
      <c r="B343" s="46" t="s">
        <v>213</v>
      </c>
      <c r="C343" s="46" t="s">
        <v>5553</v>
      </c>
      <c r="D343" s="46" t="s">
        <v>5554</v>
      </c>
      <c r="E343" s="46" t="s">
        <v>181</v>
      </c>
      <c r="F343" s="46" t="s">
        <v>5555</v>
      </c>
      <c r="G343" s="46" t="s">
        <v>5556</v>
      </c>
      <c r="H343" s="46" t="s">
        <v>5557</v>
      </c>
    </row>
    <row r="344" spans="2:8">
      <c r="B344" s="46" t="s">
        <v>213</v>
      </c>
      <c r="C344" s="46" t="s">
        <v>5558</v>
      </c>
      <c r="D344" s="46" t="s">
        <v>5559</v>
      </c>
      <c r="E344" s="46" t="s">
        <v>114</v>
      </c>
      <c r="F344" s="46" t="s">
        <v>5560</v>
      </c>
      <c r="G344" s="46" t="s">
        <v>5561</v>
      </c>
      <c r="H344" s="46" t="s">
        <v>5562</v>
      </c>
    </row>
    <row r="345" spans="2:8">
      <c r="B345" s="46" t="s">
        <v>213</v>
      </c>
      <c r="C345" s="46" t="s">
        <v>5563</v>
      </c>
      <c r="D345" s="46" t="s">
        <v>5564</v>
      </c>
      <c r="E345" s="46" t="s">
        <v>119</v>
      </c>
      <c r="F345" s="46" t="s">
        <v>5565</v>
      </c>
      <c r="G345" s="46" t="s">
        <v>5566</v>
      </c>
      <c r="H345" s="46" t="s">
        <v>5567</v>
      </c>
    </row>
    <row r="346" spans="2:8">
      <c r="B346" s="46" t="s">
        <v>213</v>
      </c>
      <c r="C346" s="46" t="s">
        <v>5568</v>
      </c>
      <c r="D346" s="46" t="s">
        <v>5569</v>
      </c>
    </row>
    <row r="347" spans="2:8">
      <c r="B347" s="46" t="s">
        <v>214</v>
      </c>
      <c r="C347" s="46" t="s">
        <v>5570</v>
      </c>
      <c r="D347" s="46" t="s">
        <v>5571</v>
      </c>
      <c r="E347" s="46" t="s">
        <v>28</v>
      </c>
      <c r="F347" s="46" t="s">
        <v>5572</v>
      </c>
      <c r="G347" s="46" t="s">
        <v>5573</v>
      </c>
      <c r="H347" s="46" t="s">
        <v>5574</v>
      </c>
    </row>
    <row r="348" spans="2:8">
      <c r="B348" s="46" t="s">
        <v>214</v>
      </c>
      <c r="C348" s="46" t="s">
        <v>5575</v>
      </c>
      <c r="D348" s="46" t="s">
        <v>5576</v>
      </c>
      <c r="E348" s="46" t="s">
        <v>63</v>
      </c>
      <c r="F348" s="46" t="s">
        <v>5577</v>
      </c>
      <c r="G348" s="46" t="s">
        <v>5578</v>
      </c>
      <c r="H348" s="46" t="s">
        <v>5579</v>
      </c>
    </row>
    <row r="349" spans="2:8">
      <c r="B349" s="46" t="s">
        <v>214</v>
      </c>
      <c r="C349" s="46" t="s">
        <v>5580</v>
      </c>
      <c r="D349" s="46" t="s">
        <v>5581</v>
      </c>
      <c r="E349" s="46" t="s">
        <v>61</v>
      </c>
      <c r="F349" s="46" t="s">
        <v>5582</v>
      </c>
      <c r="G349" s="46" t="s">
        <v>5583</v>
      </c>
      <c r="H349" s="46" t="s">
        <v>5584</v>
      </c>
    </row>
    <row r="350" spans="2:8">
      <c r="B350" s="46" t="s">
        <v>214</v>
      </c>
      <c r="C350" s="46" t="s">
        <v>5585</v>
      </c>
      <c r="D350" s="46" t="s">
        <v>5586</v>
      </c>
      <c r="E350" s="46" t="s">
        <v>196</v>
      </c>
      <c r="F350" s="46" t="s">
        <v>5587</v>
      </c>
      <c r="G350" s="46" t="s">
        <v>5588</v>
      </c>
      <c r="H350" s="46" t="s">
        <v>5589</v>
      </c>
    </row>
    <row r="351" spans="2:8">
      <c r="B351" s="46" t="s">
        <v>214</v>
      </c>
      <c r="C351" s="46" t="s">
        <v>5590</v>
      </c>
      <c r="D351" s="46" t="s">
        <v>5591</v>
      </c>
    </row>
    <row r="352" spans="2:8">
      <c r="B352" s="46" t="s">
        <v>215</v>
      </c>
      <c r="C352" s="46" t="s">
        <v>5592</v>
      </c>
      <c r="D352" s="46" t="s">
        <v>5593</v>
      </c>
      <c r="E352" s="46" t="s">
        <v>91</v>
      </c>
      <c r="F352" s="46" t="s">
        <v>5594</v>
      </c>
      <c r="G352" s="46" t="s">
        <v>5595</v>
      </c>
      <c r="H352" s="46" t="s">
        <v>5596</v>
      </c>
    </row>
    <row r="353" spans="2:8">
      <c r="B353" s="46" t="s">
        <v>215</v>
      </c>
      <c r="C353" s="46" t="s">
        <v>5597</v>
      </c>
      <c r="D353" s="46" t="s">
        <v>5598</v>
      </c>
      <c r="E353" s="46" t="s">
        <v>92</v>
      </c>
      <c r="F353" s="46" t="s">
        <v>5599</v>
      </c>
      <c r="G353" s="46" t="s">
        <v>5600</v>
      </c>
      <c r="H353" s="46" t="s">
        <v>5601</v>
      </c>
    </row>
    <row r="354" spans="2:8">
      <c r="B354" s="46" t="s">
        <v>215</v>
      </c>
      <c r="C354" s="46" t="s">
        <v>5602</v>
      </c>
      <c r="D354" s="46" t="s">
        <v>5603</v>
      </c>
      <c r="E354" s="46" t="s">
        <v>196</v>
      </c>
      <c r="F354" s="46" t="s">
        <v>5604</v>
      </c>
      <c r="G354" s="46" t="s">
        <v>5605</v>
      </c>
      <c r="H354" s="46" t="s">
        <v>5606</v>
      </c>
    </row>
    <row r="355" spans="2:8">
      <c r="B355" s="46" t="s">
        <v>215</v>
      </c>
      <c r="C355" s="46" t="s">
        <v>5607</v>
      </c>
      <c r="D355" s="46" t="s">
        <v>5608</v>
      </c>
    </row>
    <row r="356" spans="2:8">
      <c r="B356" s="46" t="s">
        <v>216</v>
      </c>
      <c r="C356" s="46" t="s">
        <v>5609</v>
      </c>
      <c r="D356" s="46" t="s">
        <v>5610</v>
      </c>
      <c r="E356" s="46" t="s">
        <v>196</v>
      </c>
      <c r="F356" s="46" t="s">
        <v>5611</v>
      </c>
      <c r="G356" s="46" t="s">
        <v>5612</v>
      </c>
      <c r="H356" s="46" t="s">
        <v>5613</v>
      </c>
    </row>
    <row r="357" spans="2:8">
      <c r="B357" s="46" t="s">
        <v>216</v>
      </c>
      <c r="C357" s="46" t="s">
        <v>5614</v>
      </c>
      <c r="D357" s="46" t="s">
        <v>5615</v>
      </c>
      <c r="E357" s="46" t="s">
        <v>111</v>
      </c>
      <c r="F357" s="46" t="s">
        <v>5616</v>
      </c>
      <c r="G357" s="46" t="s">
        <v>5617</v>
      </c>
      <c r="H357" s="46" t="s">
        <v>5618</v>
      </c>
    </row>
    <row r="358" spans="2:8">
      <c r="B358" s="46" t="s">
        <v>216</v>
      </c>
      <c r="C358" s="46" t="s">
        <v>5619</v>
      </c>
      <c r="D358" s="46" t="s">
        <v>5620</v>
      </c>
      <c r="E358" s="46" t="s">
        <v>116</v>
      </c>
      <c r="F358" s="46" t="s">
        <v>5621</v>
      </c>
      <c r="G358" s="46" t="s">
        <v>5622</v>
      </c>
      <c r="H358" s="46" t="s">
        <v>5623</v>
      </c>
    </row>
    <row r="359" spans="2:8">
      <c r="B359" s="46" t="s">
        <v>216</v>
      </c>
      <c r="C359" s="46" t="s">
        <v>5624</v>
      </c>
      <c r="D359" s="46" t="s">
        <v>5625</v>
      </c>
    </row>
    <row r="360" spans="2:8">
      <c r="B360" s="46" t="s">
        <v>217</v>
      </c>
      <c r="C360" s="46" t="s">
        <v>5626</v>
      </c>
      <c r="D360" s="46" t="s">
        <v>5627</v>
      </c>
      <c r="E360" s="46" t="s">
        <v>196</v>
      </c>
      <c r="F360" s="46" t="s">
        <v>5628</v>
      </c>
      <c r="G360" s="46" t="s">
        <v>5629</v>
      </c>
      <c r="H360" s="46" t="s">
        <v>5630</v>
      </c>
    </row>
    <row r="361" spans="2:8">
      <c r="B361" s="46" t="s">
        <v>217</v>
      </c>
      <c r="C361" s="46" t="s">
        <v>5631</v>
      </c>
      <c r="D361" s="46" t="s">
        <v>5632</v>
      </c>
      <c r="E361" s="46" t="s">
        <v>113</v>
      </c>
      <c r="F361" s="46" t="s">
        <v>5633</v>
      </c>
      <c r="G361" s="46" t="s">
        <v>5634</v>
      </c>
      <c r="H361" s="46" t="s">
        <v>5635</v>
      </c>
    </row>
    <row r="362" spans="2:8">
      <c r="B362" s="46" t="s">
        <v>217</v>
      </c>
      <c r="C362" s="46" t="s">
        <v>5636</v>
      </c>
      <c r="D362" s="46" t="s">
        <v>5637</v>
      </c>
      <c r="E362" s="46" t="s">
        <v>118</v>
      </c>
      <c r="F362" s="46" t="s">
        <v>5638</v>
      </c>
      <c r="G362" s="46" t="s">
        <v>5639</v>
      </c>
      <c r="H362" s="46" t="s">
        <v>5640</v>
      </c>
    </row>
    <row r="363" spans="2:8">
      <c r="B363" s="46" t="s">
        <v>217</v>
      </c>
      <c r="C363" s="46" t="s">
        <v>5641</v>
      </c>
      <c r="D363" s="46" t="s">
        <v>5642</v>
      </c>
    </row>
    <row r="364" spans="2:8">
      <c r="B364" s="46" t="s">
        <v>218</v>
      </c>
      <c r="C364" s="46" t="s">
        <v>5643</v>
      </c>
      <c r="D364" s="46" t="s">
        <v>5644</v>
      </c>
      <c r="E364" s="46" t="s">
        <v>196</v>
      </c>
      <c r="F364" s="46" t="s">
        <v>5645</v>
      </c>
      <c r="G364" s="46" t="s">
        <v>5646</v>
      </c>
      <c r="H364" s="46" t="s">
        <v>5647</v>
      </c>
    </row>
    <row r="365" spans="2:8">
      <c r="B365" s="46" t="s">
        <v>218</v>
      </c>
      <c r="C365" s="46" t="s">
        <v>5648</v>
      </c>
      <c r="D365" s="46" t="s">
        <v>5649</v>
      </c>
      <c r="E365" s="46" t="s">
        <v>112</v>
      </c>
      <c r="F365" s="46" t="s">
        <v>5650</v>
      </c>
      <c r="G365" s="46" t="s">
        <v>5651</v>
      </c>
      <c r="H365" s="46" t="s">
        <v>5652</v>
      </c>
    </row>
    <row r="366" spans="2:8">
      <c r="B366" s="46" t="s">
        <v>218</v>
      </c>
      <c r="C366" s="46" t="s">
        <v>5653</v>
      </c>
      <c r="D366" s="46" t="s">
        <v>5654</v>
      </c>
      <c r="E366" s="46" t="s">
        <v>117</v>
      </c>
      <c r="F366" s="46" t="s">
        <v>5655</v>
      </c>
      <c r="G366" s="46" t="s">
        <v>5656</v>
      </c>
      <c r="H366" s="46" t="s">
        <v>5657</v>
      </c>
    </row>
    <row r="367" spans="2:8">
      <c r="B367" s="46" t="s">
        <v>218</v>
      </c>
      <c r="C367" s="46" t="s">
        <v>5658</v>
      </c>
      <c r="D367" s="46" t="s">
        <v>5659</v>
      </c>
    </row>
    <row r="368" spans="2:8">
      <c r="B368" s="46" t="s">
        <v>219</v>
      </c>
      <c r="C368" s="46" t="s">
        <v>5660</v>
      </c>
      <c r="D368" s="46" t="s">
        <v>5661</v>
      </c>
      <c r="E368" s="46" t="s">
        <v>196</v>
      </c>
      <c r="F368" s="46" t="s">
        <v>5662</v>
      </c>
      <c r="G368" s="46" t="s">
        <v>5663</v>
      </c>
      <c r="H368" s="46" t="s">
        <v>5664</v>
      </c>
    </row>
    <row r="369" spans="2:8">
      <c r="B369" s="46" t="s">
        <v>219</v>
      </c>
      <c r="C369" s="46" t="s">
        <v>5665</v>
      </c>
      <c r="D369" s="46" t="s">
        <v>5666</v>
      </c>
      <c r="E369" s="46" t="s">
        <v>114</v>
      </c>
      <c r="F369" s="46" t="s">
        <v>5667</v>
      </c>
      <c r="G369" s="46" t="s">
        <v>5668</v>
      </c>
      <c r="H369" s="46" t="s">
        <v>5669</v>
      </c>
    </row>
    <row r="370" spans="2:8">
      <c r="B370" s="46" t="s">
        <v>219</v>
      </c>
      <c r="C370" s="46" t="s">
        <v>5670</v>
      </c>
      <c r="D370" s="46" t="s">
        <v>5671</v>
      </c>
      <c r="E370" s="46" t="s">
        <v>119</v>
      </c>
      <c r="F370" s="46" t="s">
        <v>5672</v>
      </c>
      <c r="G370" s="46" t="s">
        <v>5673</v>
      </c>
      <c r="H370" s="46" t="s">
        <v>5674</v>
      </c>
    </row>
    <row r="371" spans="2:8">
      <c r="B371" s="46" t="s">
        <v>219</v>
      </c>
      <c r="C371" s="46" t="s">
        <v>5675</v>
      </c>
      <c r="D371" s="46" t="s">
        <v>5676</v>
      </c>
    </row>
    <row r="372" spans="2:8">
      <c r="B372" s="46" t="s">
        <v>220</v>
      </c>
      <c r="C372" s="46" t="s">
        <v>5677</v>
      </c>
      <c r="D372" s="46" t="s">
        <v>5678</v>
      </c>
      <c r="E372" s="46" t="s">
        <v>131</v>
      </c>
      <c r="F372" s="46" t="s">
        <v>5679</v>
      </c>
      <c r="G372" s="46" t="s">
        <v>5680</v>
      </c>
      <c r="H372" s="46" t="s">
        <v>5681</v>
      </c>
    </row>
    <row r="373" spans="2:8">
      <c r="B373" s="46" t="s">
        <v>220</v>
      </c>
      <c r="C373" s="46" t="s">
        <v>5682</v>
      </c>
      <c r="D373" s="46" t="s">
        <v>5683</v>
      </c>
      <c r="E373" s="46" t="s">
        <v>130</v>
      </c>
      <c r="F373" s="46" t="s">
        <v>5684</v>
      </c>
      <c r="G373" s="46" t="s">
        <v>5685</v>
      </c>
      <c r="H373" s="46" t="s">
        <v>5686</v>
      </c>
    </row>
    <row r="374" spans="2:8">
      <c r="B374" s="46" t="s">
        <v>220</v>
      </c>
      <c r="C374" s="46" t="s">
        <v>5687</v>
      </c>
      <c r="D374" s="46" t="s">
        <v>5688</v>
      </c>
      <c r="E374" s="46" t="s">
        <v>129</v>
      </c>
      <c r="F374" s="46" t="s">
        <v>5689</v>
      </c>
      <c r="G374" s="46" t="s">
        <v>5690</v>
      </c>
      <c r="H374" s="46" t="s">
        <v>5691</v>
      </c>
    </row>
    <row r="375" spans="2:8">
      <c r="B375" s="46" t="s">
        <v>220</v>
      </c>
      <c r="C375" s="46" t="s">
        <v>5692</v>
      </c>
      <c r="D375" s="46" t="s">
        <v>5693</v>
      </c>
      <c r="E375" s="46" t="s">
        <v>196</v>
      </c>
      <c r="F375" s="46" t="s">
        <v>5694</v>
      </c>
      <c r="G375" s="46" t="s">
        <v>5695</v>
      </c>
      <c r="H375" s="46" t="s">
        <v>5696</v>
      </c>
    </row>
    <row r="376" spans="2:8">
      <c r="B376" s="46" t="s">
        <v>220</v>
      </c>
      <c r="C376" s="46" t="s">
        <v>5697</v>
      </c>
      <c r="D376" s="46" t="s">
        <v>5698</v>
      </c>
    </row>
    <row r="377" spans="2:8">
      <c r="B377" s="46" t="s">
        <v>221</v>
      </c>
      <c r="C377" s="46" t="s">
        <v>5699</v>
      </c>
      <c r="D377" s="46" t="s">
        <v>5700</v>
      </c>
      <c r="E377" s="46" t="s">
        <v>128</v>
      </c>
      <c r="F377" s="46" t="s">
        <v>5701</v>
      </c>
      <c r="G377" s="46" t="s">
        <v>5702</v>
      </c>
      <c r="H377" s="46" t="s">
        <v>5703</v>
      </c>
    </row>
    <row r="378" spans="2:8">
      <c r="B378" s="46" t="s">
        <v>221</v>
      </c>
      <c r="C378" s="46" t="s">
        <v>5704</v>
      </c>
      <c r="D378" s="46" t="s">
        <v>5705</v>
      </c>
      <c r="E378" s="46" t="s">
        <v>127</v>
      </c>
      <c r="F378" s="46" t="s">
        <v>5706</v>
      </c>
      <c r="G378" s="46" t="s">
        <v>5707</v>
      </c>
      <c r="H378" s="46" t="s">
        <v>5708</v>
      </c>
    </row>
    <row r="379" spans="2:8">
      <c r="B379" s="46" t="s">
        <v>221</v>
      </c>
      <c r="C379" s="46" t="s">
        <v>5709</v>
      </c>
      <c r="D379" s="46" t="s">
        <v>5710</v>
      </c>
      <c r="E379" s="46" t="s">
        <v>126</v>
      </c>
      <c r="F379" s="46" t="s">
        <v>5711</v>
      </c>
      <c r="G379" s="46" t="s">
        <v>5712</v>
      </c>
      <c r="H379" s="46" t="s">
        <v>5713</v>
      </c>
    </row>
    <row r="380" spans="2:8">
      <c r="B380" s="46" t="s">
        <v>221</v>
      </c>
      <c r="C380" s="46" t="s">
        <v>5714</v>
      </c>
      <c r="D380" s="46" t="s">
        <v>5715</v>
      </c>
      <c r="E380" s="46" t="s">
        <v>196</v>
      </c>
      <c r="F380" s="46" t="s">
        <v>5716</v>
      </c>
      <c r="G380" s="46" t="s">
        <v>5717</v>
      </c>
      <c r="H380" s="46" t="s">
        <v>5718</v>
      </c>
    </row>
    <row r="381" spans="2:8">
      <c r="B381" s="46" t="s">
        <v>221</v>
      </c>
      <c r="C381" s="46" t="s">
        <v>5719</v>
      </c>
      <c r="D381" s="46" t="s">
        <v>5720</v>
      </c>
    </row>
    <row r="382" spans="2:8">
      <c r="B382" s="46" t="s">
        <v>222</v>
      </c>
      <c r="C382" s="46" t="s">
        <v>5721</v>
      </c>
      <c r="D382" s="46" t="s">
        <v>5722</v>
      </c>
      <c r="E382" s="46" t="s">
        <v>196</v>
      </c>
      <c r="F382" s="46" t="s">
        <v>5723</v>
      </c>
      <c r="G382" s="46" t="s">
        <v>5724</v>
      </c>
      <c r="H382" s="46" t="s">
        <v>5725</v>
      </c>
    </row>
    <row r="383" spans="2:8">
      <c r="B383" s="46" t="s">
        <v>222</v>
      </c>
      <c r="C383" s="46" t="s">
        <v>5726</v>
      </c>
      <c r="D383" s="46" t="s">
        <v>5727</v>
      </c>
      <c r="E383" s="46" t="s">
        <v>148</v>
      </c>
      <c r="F383" s="46" t="s">
        <v>5728</v>
      </c>
      <c r="G383" s="46" t="s">
        <v>5729</v>
      </c>
      <c r="H383" s="46" t="s">
        <v>5730</v>
      </c>
    </row>
    <row r="384" spans="2:8">
      <c r="B384" s="46" t="s">
        <v>222</v>
      </c>
      <c r="C384" s="46" t="s">
        <v>5731</v>
      </c>
      <c r="D384" s="46" t="s">
        <v>5732</v>
      </c>
    </row>
    <row r="385" spans="2:8">
      <c r="B385" s="46" t="s">
        <v>223</v>
      </c>
      <c r="C385" s="46" t="s">
        <v>5733</v>
      </c>
      <c r="D385" s="46" t="s">
        <v>5734</v>
      </c>
      <c r="E385" s="46" t="s">
        <v>179</v>
      </c>
      <c r="F385" s="46" t="s">
        <v>5735</v>
      </c>
      <c r="G385" s="46" t="s">
        <v>5736</v>
      </c>
      <c r="H385" s="46" t="s">
        <v>5737</v>
      </c>
    </row>
    <row r="386" spans="2:8">
      <c r="B386" s="46" t="s">
        <v>223</v>
      </c>
      <c r="C386" s="46" t="s">
        <v>5738</v>
      </c>
      <c r="D386" s="46" t="s">
        <v>5739</v>
      </c>
      <c r="E386" s="46" t="s">
        <v>128</v>
      </c>
      <c r="F386" s="46" t="s">
        <v>5740</v>
      </c>
      <c r="G386" s="46" t="s">
        <v>5741</v>
      </c>
      <c r="H386" s="46" t="s">
        <v>5742</v>
      </c>
    </row>
    <row r="387" spans="2:8">
      <c r="B387" s="46" t="s">
        <v>223</v>
      </c>
      <c r="C387" s="46" t="s">
        <v>5743</v>
      </c>
      <c r="D387" s="46" t="s">
        <v>5744</v>
      </c>
    </row>
    <row r="388" spans="2:8">
      <c r="B388" s="46" t="s">
        <v>224</v>
      </c>
      <c r="C388" s="46" t="s">
        <v>5745</v>
      </c>
      <c r="D388" s="46" t="s">
        <v>5746</v>
      </c>
      <c r="E388" s="46" t="s">
        <v>181</v>
      </c>
      <c r="F388" s="46" t="s">
        <v>5747</v>
      </c>
      <c r="G388" s="46" t="s">
        <v>5748</v>
      </c>
      <c r="H388" s="46" t="s">
        <v>5749</v>
      </c>
    </row>
    <row r="389" spans="2:8">
      <c r="B389" s="46" t="s">
        <v>224</v>
      </c>
      <c r="C389" s="46" t="s">
        <v>5750</v>
      </c>
      <c r="D389" s="46" t="s">
        <v>5751</v>
      </c>
      <c r="E389" s="46" t="s">
        <v>127</v>
      </c>
      <c r="F389" s="46" t="s">
        <v>5752</v>
      </c>
      <c r="G389" s="46" t="s">
        <v>5753</v>
      </c>
      <c r="H389" s="46" t="s">
        <v>5754</v>
      </c>
    </row>
    <row r="390" spans="2:8">
      <c r="B390" s="46" t="s">
        <v>224</v>
      </c>
      <c r="C390" s="46" t="s">
        <v>5755</v>
      </c>
      <c r="D390" s="46" t="s">
        <v>5756</v>
      </c>
    </row>
    <row r="391" spans="2:8">
      <c r="B391" s="46" t="s">
        <v>225</v>
      </c>
      <c r="C391" s="46" t="s">
        <v>5757</v>
      </c>
      <c r="D391" s="46" t="s">
        <v>5758</v>
      </c>
      <c r="E391" s="46" t="s">
        <v>181</v>
      </c>
      <c r="F391" s="46" t="s">
        <v>5759</v>
      </c>
      <c r="G391" s="46" t="s">
        <v>5760</v>
      </c>
      <c r="H391" s="46" t="s">
        <v>5761</v>
      </c>
    </row>
    <row r="392" spans="2:8">
      <c r="B392" s="46" t="s">
        <v>225</v>
      </c>
      <c r="C392" s="46" t="s">
        <v>5762</v>
      </c>
      <c r="D392" s="46" t="s">
        <v>5763</v>
      </c>
      <c r="E392" s="46" t="s">
        <v>128</v>
      </c>
      <c r="F392" s="46" t="s">
        <v>5764</v>
      </c>
      <c r="G392" s="46" t="s">
        <v>5765</v>
      </c>
      <c r="H392" s="46" t="s">
        <v>5766</v>
      </c>
    </row>
    <row r="393" spans="2:8">
      <c r="B393" s="46" t="s">
        <v>225</v>
      </c>
      <c r="C393" s="46" t="s">
        <v>5767</v>
      </c>
      <c r="D393" s="46" t="s">
        <v>5768</v>
      </c>
      <c r="E393" s="46" t="s">
        <v>127</v>
      </c>
      <c r="F393" s="46" t="s">
        <v>5769</v>
      </c>
      <c r="G393" s="46" t="s">
        <v>5770</v>
      </c>
      <c r="H393" s="46" t="s">
        <v>1095</v>
      </c>
    </row>
    <row r="394" spans="2:8">
      <c r="B394" s="46" t="s">
        <v>225</v>
      </c>
      <c r="C394" s="46" t="s">
        <v>5771</v>
      </c>
      <c r="D394" s="46" t="s">
        <v>5772</v>
      </c>
      <c r="E394" s="46" t="s">
        <v>126</v>
      </c>
      <c r="F394" s="46" t="s">
        <v>5773</v>
      </c>
      <c r="G394" s="46" t="s">
        <v>5774</v>
      </c>
      <c r="H394" s="46" t="s">
        <v>5775</v>
      </c>
    </row>
    <row r="395" spans="2:8">
      <c r="B395" s="46" t="s">
        <v>225</v>
      </c>
      <c r="C395" s="46" t="s">
        <v>5776</v>
      </c>
      <c r="D395" s="46" t="s">
        <v>5777</v>
      </c>
    </row>
    <row r="396" spans="2:8">
      <c r="B396" s="46" t="s">
        <v>226</v>
      </c>
      <c r="C396" s="46" t="s">
        <v>5778</v>
      </c>
      <c r="D396" s="46" t="s">
        <v>5779</v>
      </c>
      <c r="E396" s="46" t="s">
        <v>179</v>
      </c>
      <c r="F396" s="46" t="s">
        <v>5780</v>
      </c>
      <c r="G396" s="46" t="s">
        <v>5781</v>
      </c>
      <c r="H396" s="46" t="s">
        <v>5782</v>
      </c>
    </row>
    <row r="397" spans="2:8">
      <c r="B397" s="46" t="s">
        <v>226</v>
      </c>
      <c r="C397" s="46" t="s">
        <v>5783</v>
      </c>
      <c r="D397" s="46" t="s">
        <v>5784</v>
      </c>
      <c r="E397" s="46" t="s">
        <v>131</v>
      </c>
      <c r="F397" s="46" t="s">
        <v>5785</v>
      </c>
      <c r="G397" s="46" t="s">
        <v>5786</v>
      </c>
      <c r="H397" s="46" t="s">
        <v>5787</v>
      </c>
    </row>
    <row r="398" spans="2:8">
      <c r="B398" s="46" t="s">
        <v>226</v>
      </c>
      <c r="C398" s="46" t="s">
        <v>5788</v>
      </c>
      <c r="D398" s="46" t="s">
        <v>5789</v>
      </c>
    </row>
    <row r="399" spans="2:8">
      <c r="B399" s="46" t="s">
        <v>227</v>
      </c>
      <c r="C399" s="46" t="s">
        <v>5790</v>
      </c>
      <c r="D399" s="46" t="s">
        <v>5791</v>
      </c>
      <c r="E399" s="46" t="s">
        <v>181</v>
      </c>
      <c r="F399" s="46" t="s">
        <v>5792</v>
      </c>
      <c r="G399" s="46" t="s">
        <v>5793</v>
      </c>
      <c r="H399" s="46" t="s">
        <v>5794</v>
      </c>
    </row>
    <row r="400" spans="2:8">
      <c r="B400" s="46" t="s">
        <v>227</v>
      </c>
      <c r="C400" s="46" t="s">
        <v>5795</v>
      </c>
      <c r="D400" s="46" t="s">
        <v>5796</v>
      </c>
      <c r="E400" s="46" t="s">
        <v>131</v>
      </c>
      <c r="F400" s="46" t="s">
        <v>5797</v>
      </c>
      <c r="G400" s="46" t="s">
        <v>5798</v>
      </c>
      <c r="H400" s="46" t="s">
        <v>5799</v>
      </c>
    </row>
    <row r="401" spans="2:8">
      <c r="B401" s="46" t="s">
        <v>227</v>
      </c>
      <c r="C401" s="46" t="s">
        <v>5800</v>
      </c>
      <c r="D401" s="46" t="s">
        <v>5801</v>
      </c>
      <c r="E401" s="46" t="s">
        <v>130</v>
      </c>
      <c r="F401" s="46" t="s">
        <v>5802</v>
      </c>
      <c r="G401" s="46" t="s">
        <v>5803</v>
      </c>
      <c r="H401" s="46" t="s">
        <v>5804</v>
      </c>
    </row>
    <row r="402" spans="2:8">
      <c r="B402" s="46" t="s">
        <v>227</v>
      </c>
      <c r="C402" s="46" t="s">
        <v>5805</v>
      </c>
      <c r="D402" s="46" t="s">
        <v>5806</v>
      </c>
      <c r="E402" s="46" t="s">
        <v>129</v>
      </c>
      <c r="F402" s="46" t="s">
        <v>5807</v>
      </c>
      <c r="G402" s="46" t="s">
        <v>5808</v>
      </c>
      <c r="H402" s="46" t="s">
        <v>5809</v>
      </c>
    </row>
    <row r="403" spans="2:8">
      <c r="B403" s="46" t="s">
        <v>227</v>
      </c>
      <c r="C403" s="46" t="s">
        <v>5810</v>
      </c>
      <c r="D403" s="46" t="s">
        <v>5811</v>
      </c>
    </row>
    <row r="404" spans="2:8">
      <c r="B404" s="46" t="s">
        <v>228</v>
      </c>
      <c r="C404" s="46" t="s">
        <v>5812</v>
      </c>
      <c r="D404" s="46" t="s">
        <v>5813</v>
      </c>
      <c r="E404" s="46" t="s">
        <v>181</v>
      </c>
      <c r="F404" s="46" t="s">
        <v>5814</v>
      </c>
      <c r="G404" s="46" t="s">
        <v>5815</v>
      </c>
      <c r="H404" s="46" t="s">
        <v>5816</v>
      </c>
    </row>
    <row r="405" spans="2:8">
      <c r="B405" s="46" t="s">
        <v>228</v>
      </c>
      <c r="C405" s="46" t="s">
        <v>5817</v>
      </c>
      <c r="D405" s="46" t="s">
        <v>5818</v>
      </c>
      <c r="E405" s="46" t="s">
        <v>151</v>
      </c>
      <c r="F405" s="46" t="s">
        <v>5819</v>
      </c>
      <c r="G405" s="46" t="s">
        <v>5820</v>
      </c>
      <c r="H405" s="46" t="s">
        <v>5821</v>
      </c>
    </row>
    <row r="406" spans="2:8">
      <c r="B406" s="46" t="s">
        <v>228</v>
      </c>
      <c r="C406" s="46" t="s">
        <v>5822</v>
      </c>
      <c r="D406" s="46" t="s">
        <v>5823</v>
      </c>
    </row>
    <row r="407" spans="2:8">
      <c r="B407" s="46" t="s">
        <v>229</v>
      </c>
      <c r="C407" s="46" t="s">
        <v>5824</v>
      </c>
      <c r="D407" s="46" t="s">
        <v>5825</v>
      </c>
      <c r="E407" s="46" t="s">
        <v>181</v>
      </c>
      <c r="F407" s="46" t="s">
        <v>5826</v>
      </c>
      <c r="G407" s="46" t="s">
        <v>5827</v>
      </c>
      <c r="H407" s="46" t="s">
        <v>5828</v>
      </c>
    </row>
    <row r="408" spans="2:8">
      <c r="B408" s="46" t="s">
        <v>229</v>
      </c>
      <c r="C408" s="46" t="s">
        <v>5829</v>
      </c>
      <c r="D408" s="46" t="s">
        <v>5830</v>
      </c>
      <c r="E408" s="46" t="s">
        <v>149</v>
      </c>
      <c r="F408" s="46" t="s">
        <v>5831</v>
      </c>
      <c r="G408" s="46" t="s">
        <v>5832</v>
      </c>
      <c r="H408" s="46" t="s">
        <v>5833</v>
      </c>
    </row>
    <row r="409" spans="2:8">
      <c r="B409" s="46" t="s">
        <v>229</v>
      </c>
      <c r="C409" s="46" t="s">
        <v>5834</v>
      </c>
      <c r="D409" s="46" t="s">
        <v>5835</v>
      </c>
      <c r="E409" s="46" t="s">
        <v>151</v>
      </c>
      <c r="F409" s="46" t="s">
        <v>5836</v>
      </c>
      <c r="G409" s="46" t="s">
        <v>5837</v>
      </c>
      <c r="H409" s="46" t="s">
        <v>5838</v>
      </c>
    </row>
    <row r="410" spans="2:8">
      <c r="B410" s="46" t="s">
        <v>229</v>
      </c>
      <c r="C410" s="46" t="s">
        <v>5839</v>
      </c>
      <c r="D410" s="46" t="s">
        <v>5840</v>
      </c>
    </row>
    <row r="411" spans="2:8">
      <c r="B411" s="46" t="s">
        <v>230</v>
      </c>
      <c r="C411" s="46" t="s">
        <v>5841</v>
      </c>
      <c r="D411" s="46" t="s">
        <v>5842</v>
      </c>
      <c r="E411" s="46" t="s">
        <v>181</v>
      </c>
      <c r="F411" s="46" t="s">
        <v>5843</v>
      </c>
      <c r="G411" s="46" t="s">
        <v>5844</v>
      </c>
      <c r="H411" s="46" t="s">
        <v>5845</v>
      </c>
    </row>
    <row r="412" spans="2:8">
      <c r="B412" s="46" t="s">
        <v>230</v>
      </c>
      <c r="C412" s="46" t="s">
        <v>5846</v>
      </c>
      <c r="D412" s="46" t="s">
        <v>5847</v>
      </c>
      <c r="E412" s="46" t="s">
        <v>149</v>
      </c>
      <c r="F412" s="46" t="s">
        <v>5848</v>
      </c>
      <c r="G412" s="46" t="s">
        <v>5849</v>
      </c>
      <c r="H412" s="46" t="s">
        <v>5850</v>
      </c>
    </row>
    <row r="413" spans="2:8">
      <c r="B413" s="46" t="s">
        <v>230</v>
      </c>
      <c r="C413" s="46" t="s">
        <v>5851</v>
      </c>
      <c r="D413" s="46" t="s">
        <v>5852</v>
      </c>
    </row>
    <row r="414" spans="2:8">
      <c r="B414" s="46" t="s">
        <v>231</v>
      </c>
      <c r="C414" s="46" t="s">
        <v>5853</v>
      </c>
      <c r="D414" s="46" t="s">
        <v>5854</v>
      </c>
      <c r="E414" s="46" t="s">
        <v>181</v>
      </c>
      <c r="F414" s="46" t="s">
        <v>5855</v>
      </c>
      <c r="G414" s="46" t="s">
        <v>5856</v>
      </c>
      <c r="H414" s="46" t="s">
        <v>5857</v>
      </c>
    </row>
    <row r="415" spans="2:8">
      <c r="B415" s="46" t="s">
        <v>231</v>
      </c>
      <c r="C415" s="46" t="s">
        <v>5858</v>
      </c>
      <c r="D415" s="46" t="s">
        <v>5859</v>
      </c>
      <c r="E415" s="46" t="s">
        <v>155</v>
      </c>
      <c r="F415" s="46" t="s">
        <v>5860</v>
      </c>
      <c r="G415" s="46" t="s">
        <v>5861</v>
      </c>
      <c r="H415" s="46" t="s">
        <v>5862</v>
      </c>
    </row>
    <row r="416" spans="2:8">
      <c r="B416" s="46" t="s">
        <v>231</v>
      </c>
      <c r="C416" s="46" t="s">
        <v>5863</v>
      </c>
      <c r="D416" s="46" t="s">
        <v>5864</v>
      </c>
    </row>
    <row r="417" spans="2:8">
      <c r="B417" s="46" t="s">
        <v>232</v>
      </c>
      <c r="C417" s="46" t="s">
        <v>5865</v>
      </c>
      <c r="D417" s="46" t="s">
        <v>5866</v>
      </c>
      <c r="E417" s="46" t="s">
        <v>181</v>
      </c>
      <c r="F417" s="46" t="s">
        <v>5867</v>
      </c>
      <c r="G417" s="46" t="s">
        <v>5868</v>
      </c>
      <c r="H417" s="46" t="s">
        <v>5869</v>
      </c>
    </row>
    <row r="418" spans="2:8">
      <c r="B418" s="46" t="s">
        <v>232</v>
      </c>
      <c r="C418" s="46" t="s">
        <v>5870</v>
      </c>
      <c r="D418" s="46" t="s">
        <v>5871</v>
      </c>
      <c r="E418" s="46" t="s">
        <v>153</v>
      </c>
      <c r="F418" s="46" t="s">
        <v>5872</v>
      </c>
      <c r="G418" s="46" t="s">
        <v>5873</v>
      </c>
      <c r="H418" s="46" t="s">
        <v>5874</v>
      </c>
    </row>
    <row r="419" spans="2:8">
      <c r="B419" s="46" t="s">
        <v>232</v>
      </c>
      <c r="C419" s="46" t="s">
        <v>5875</v>
      </c>
      <c r="D419" s="46" t="s">
        <v>5876</v>
      </c>
      <c r="E419" s="46" t="s">
        <v>155</v>
      </c>
      <c r="F419" s="46" t="s">
        <v>5877</v>
      </c>
      <c r="G419" s="46" t="s">
        <v>5878</v>
      </c>
      <c r="H419" s="46" t="s">
        <v>5879</v>
      </c>
    </row>
    <row r="420" spans="2:8">
      <c r="B420" s="46" t="s">
        <v>232</v>
      </c>
      <c r="C420" s="46" t="s">
        <v>5880</v>
      </c>
      <c r="D420" s="46" t="s">
        <v>5881</v>
      </c>
    </row>
    <row r="421" spans="2:8">
      <c r="B421" s="46" t="s">
        <v>233</v>
      </c>
      <c r="C421" s="46" t="s">
        <v>5882</v>
      </c>
      <c r="D421" s="46" t="s">
        <v>5883</v>
      </c>
      <c r="E421" s="46" t="s">
        <v>181</v>
      </c>
      <c r="F421" s="46" t="s">
        <v>5884</v>
      </c>
      <c r="G421" s="46" t="s">
        <v>5885</v>
      </c>
      <c r="H421" s="46" t="s">
        <v>5886</v>
      </c>
    </row>
    <row r="422" spans="2:8">
      <c r="B422" s="46" t="s">
        <v>233</v>
      </c>
      <c r="C422" s="46" t="s">
        <v>5887</v>
      </c>
      <c r="D422" s="46" t="s">
        <v>5888</v>
      </c>
      <c r="E422" s="46" t="s">
        <v>153</v>
      </c>
      <c r="F422" s="46" t="s">
        <v>5889</v>
      </c>
      <c r="G422" s="46" t="s">
        <v>5890</v>
      </c>
      <c r="H422" s="46" t="s">
        <v>5891</v>
      </c>
    </row>
    <row r="423" spans="2:8">
      <c r="B423" s="46" t="s">
        <v>233</v>
      </c>
      <c r="C423" s="46" t="s">
        <v>5892</v>
      </c>
      <c r="D423" s="46" t="s">
        <v>5893</v>
      </c>
    </row>
    <row r="424" spans="2:8">
      <c r="B424" s="46" t="s">
        <v>234</v>
      </c>
      <c r="C424" s="46" t="s">
        <v>5894</v>
      </c>
      <c r="D424" s="46" t="s">
        <v>5895</v>
      </c>
      <c r="E424" s="46" t="s">
        <v>181</v>
      </c>
      <c r="F424" s="46" t="s">
        <v>5896</v>
      </c>
      <c r="G424" s="46" t="s">
        <v>5897</v>
      </c>
      <c r="H424" s="46" t="s">
        <v>5898</v>
      </c>
    </row>
    <row r="425" spans="2:8">
      <c r="B425" s="46" t="s">
        <v>234</v>
      </c>
      <c r="C425" s="46" t="s">
        <v>5899</v>
      </c>
      <c r="D425" s="46" t="s">
        <v>5900</v>
      </c>
      <c r="E425" s="46" t="s">
        <v>159</v>
      </c>
      <c r="F425" s="46" t="s">
        <v>5901</v>
      </c>
      <c r="G425" s="46" t="s">
        <v>5902</v>
      </c>
      <c r="H425" s="46" t="s">
        <v>5903</v>
      </c>
    </row>
    <row r="426" spans="2:8">
      <c r="B426" s="46" t="s">
        <v>234</v>
      </c>
      <c r="C426" s="46" t="s">
        <v>5904</v>
      </c>
      <c r="D426" s="46" t="s">
        <v>5905</v>
      </c>
    </row>
    <row r="427" spans="2:8">
      <c r="B427" s="46" t="s">
        <v>235</v>
      </c>
      <c r="C427" s="46" t="s">
        <v>5906</v>
      </c>
      <c r="D427" s="46" t="s">
        <v>5907</v>
      </c>
      <c r="E427" s="46" t="s">
        <v>181</v>
      </c>
      <c r="F427" s="46" t="s">
        <v>5908</v>
      </c>
      <c r="G427" s="46" t="s">
        <v>5909</v>
      </c>
      <c r="H427" s="46" t="s">
        <v>5910</v>
      </c>
    </row>
    <row r="428" spans="2:8">
      <c r="B428" s="46" t="s">
        <v>235</v>
      </c>
      <c r="C428" s="46" t="s">
        <v>5911</v>
      </c>
      <c r="D428" s="46" t="s">
        <v>5912</v>
      </c>
      <c r="E428" s="46" t="s">
        <v>157</v>
      </c>
      <c r="F428" s="46" t="s">
        <v>5913</v>
      </c>
      <c r="G428" s="46" t="s">
        <v>5914</v>
      </c>
      <c r="H428" s="46" t="s">
        <v>5915</v>
      </c>
    </row>
    <row r="429" spans="2:8">
      <c r="B429" s="46" t="s">
        <v>235</v>
      </c>
      <c r="C429" s="46" t="s">
        <v>5916</v>
      </c>
      <c r="D429" s="46" t="s">
        <v>5917</v>
      </c>
      <c r="E429" s="46" t="s">
        <v>159</v>
      </c>
      <c r="F429" s="46" t="s">
        <v>5918</v>
      </c>
      <c r="G429" s="46" t="s">
        <v>5919</v>
      </c>
      <c r="H429" s="46" t="s">
        <v>5920</v>
      </c>
    </row>
    <row r="430" spans="2:8">
      <c r="B430" s="46" t="s">
        <v>235</v>
      </c>
      <c r="C430" s="46" t="s">
        <v>5921</v>
      </c>
      <c r="D430" s="46" t="s">
        <v>5922</v>
      </c>
    </row>
    <row r="431" spans="2:8">
      <c r="B431" s="46" t="s">
        <v>236</v>
      </c>
      <c r="C431" s="46" t="s">
        <v>5923</v>
      </c>
      <c r="D431" s="46" t="s">
        <v>5924</v>
      </c>
      <c r="E431" s="46" t="s">
        <v>181</v>
      </c>
      <c r="F431" s="46" t="s">
        <v>5925</v>
      </c>
      <c r="G431" s="46" t="s">
        <v>5926</v>
      </c>
      <c r="H431" s="46" t="s">
        <v>5927</v>
      </c>
    </row>
    <row r="432" spans="2:8">
      <c r="B432" s="46" t="s">
        <v>236</v>
      </c>
      <c r="C432" s="46" t="s">
        <v>5928</v>
      </c>
      <c r="D432" s="46" t="s">
        <v>5929</v>
      </c>
      <c r="E432" s="46" t="s">
        <v>157</v>
      </c>
      <c r="F432" s="46" t="s">
        <v>5930</v>
      </c>
      <c r="G432" s="46" t="s">
        <v>5931</v>
      </c>
      <c r="H432" s="46" t="s">
        <v>5932</v>
      </c>
    </row>
    <row r="433" spans="2:8">
      <c r="B433" s="46" t="s">
        <v>236</v>
      </c>
      <c r="C433" s="46" t="s">
        <v>5933</v>
      </c>
      <c r="D433" s="46" t="s">
        <v>5934</v>
      </c>
    </row>
    <row r="434" spans="2:8">
      <c r="B434" s="46" t="s">
        <v>237</v>
      </c>
      <c r="C434" s="46" t="s">
        <v>5935</v>
      </c>
      <c r="D434" s="46" t="s">
        <v>5936</v>
      </c>
      <c r="E434" s="46" t="s">
        <v>179</v>
      </c>
      <c r="F434" s="46" t="s">
        <v>5937</v>
      </c>
      <c r="G434" s="46" t="s">
        <v>5938</v>
      </c>
      <c r="H434" s="46" t="s">
        <v>5939</v>
      </c>
    </row>
    <row r="435" spans="2:8">
      <c r="B435" s="46" t="s">
        <v>237</v>
      </c>
      <c r="C435" s="46" t="s">
        <v>5940</v>
      </c>
      <c r="D435" s="46" t="s">
        <v>5941</v>
      </c>
      <c r="E435" s="46" t="s">
        <v>148</v>
      </c>
      <c r="F435" s="46" t="s">
        <v>5942</v>
      </c>
      <c r="G435" s="46" t="s">
        <v>5943</v>
      </c>
      <c r="H435" s="46" t="s">
        <v>5944</v>
      </c>
    </row>
    <row r="436" spans="2:8">
      <c r="B436" s="46" t="s">
        <v>237</v>
      </c>
      <c r="C436" s="46" t="s">
        <v>5945</v>
      </c>
      <c r="D436" s="46" t="s">
        <v>5946</v>
      </c>
    </row>
    <row r="437" spans="2:8">
      <c r="B437" s="46" t="s">
        <v>238</v>
      </c>
      <c r="C437" s="46" t="s">
        <v>5947</v>
      </c>
      <c r="D437" s="46" t="s">
        <v>5948</v>
      </c>
      <c r="E437" s="46" t="s">
        <v>93</v>
      </c>
      <c r="F437" s="46" t="s">
        <v>5949</v>
      </c>
      <c r="G437" s="46" t="s">
        <v>5950</v>
      </c>
      <c r="H437" s="46" t="s">
        <v>5951</v>
      </c>
    </row>
    <row r="438" spans="2:8">
      <c r="B438" s="46" t="s">
        <v>238</v>
      </c>
      <c r="C438" s="46" t="s">
        <v>5952</v>
      </c>
      <c r="D438" s="46" t="s">
        <v>5953</v>
      </c>
      <c r="E438" s="46" t="s">
        <v>94</v>
      </c>
      <c r="F438" s="46" t="s">
        <v>5954</v>
      </c>
      <c r="G438" s="46" t="s">
        <v>5955</v>
      </c>
      <c r="H438" s="46" t="s">
        <v>5956</v>
      </c>
    </row>
    <row r="439" spans="2:8">
      <c r="B439" s="46" t="s">
        <v>238</v>
      </c>
      <c r="C439" s="46" t="s">
        <v>5957</v>
      </c>
      <c r="D439" s="46" t="s">
        <v>5958</v>
      </c>
      <c r="E439" s="46" t="s">
        <v>196</v>
      </c>
      <c r="F439" s="46" t="s">
        <v>5959</v>
      </c>
      <c r="G439" s="46" t="s">
        <v>5960</v>
      </c>
      <c r="H439" s="46" t="s">
        <v>5961</v>
      </c>
    </row>
    <row r="440" spans="2:8">
      <c r="B440" s="46" t="s">
        <v>238</v>
      </c>
      <c r="C440" s="46" t="s">
        <v>5962</v>
      </c>
      <c r="D440" s="46" t="s">
        <v>5963</v>
      </c>
    </row>
    <row r="441" spans="2:8">
      <c r="B441" s="46" t="s">
        <v>239</v>
      </c>
      <c r="C441" s="46" t="s">
        <v>5964</v>
      </c>
      <c r="D441" s="46" t="s">
        <v>5965</v>
      </c>
      <c r="E441" s="46" t="s">
        <v>181</v>
      </c>
      <c r="F441" s="46" t="s">
        <v>5966</v>
      </c>
      <c r="G441" s="46" t="s">
        <v>5967</v>
      </c>
      <c r="H441" s="46" t="s">
        <v>5968</v>
      </c>
    </row>
    <row r="442" spans="2:8">
      <c r="B442" s="46" t="s">
        <v>239</v>
      </c>
      <c r="C442" s="46" t="s">
        <v>5969</v>
      </c>
      <c r="D442" s="46" t="s">
        <v>5970</v>
      </c>
      <c r="E442" s="46" t="s">
        <v>93</v>
      </c>
      <c r="F442" s="46" t="s">
        <v>5971</v>
      </c>
      <c r="G442" s="46" t="s">
        <v>5972</v>
      </c>
      <c r="H442" s="46" t="s">
        <v>5973</v>
      </c>
    </row>
    <row r="443" spans="2:8">
      <c r="B443" s="46" t="s">
        <v>239</v>
      </c>
      <c r="C443" s="46" t="s">
        <v>5974</v>
      </c>
      <c r="D443" s="46" t="s">
        <v>5975</v>
      </c>
      <c r="E443" s="46" t="s">
        <v>94</v>
      </c>
      <c r="F443" s="46" t="s">
        <v>5976</v>
      </c>
      <c r="G443" s="46" t="s">
        <v>5977</v>
      </c>
      <c r="H443" s="46" t="s">
        <v>5978</v>
      </c>
    </row>
    <row r="444" spans="2:8">
      <c r="B444" s="46" t="s">
        <v>239</v>
      </c>
      <c r="C444" s="46" t="s">
        <v>5979</v>
      </c>
      <c r="D444" s="46" t="s">
        <v>5980</v>
      </c>
    </row>
    <row r="445" spans="2:8">
      <c r="B445" s="46" t="s">
        <v>240</v>
      </c>
      <c r="C445" s="46" t="s">
        <v>5981</v>
      </c>
      <c r="D445" s="46" t="s">
        <v>5982</v>
      </c>
      <c r="E445" s="46" t="s">
        <v>181</v>
      </c>
      <c r="F445" s="46" t="s">
        <v>5983</v>
      </c>
      <c r="G445" s="46" t="s">
        <v>5984</v>
      </c>
      <c r="H445" s="46" t="s">
        <v>5985</v>
      </c>
    </row>
    <row r="446" spans="2:8">
      <c r="B446" s="46" t="s">
        <v>240</v>
      </c>
      <c r="C446" s="46" t="s">
        <v>5986</v>
      </c>
      <c r="D446" s="46" t="s">
        <v>5987</v>
      </c>
      <c r="E446" s="46" t="s">
        <v>91</v>
      </c>
      <c r="F446" s="46" t="s">
        <v>5988</v>
      </c>
      <c r="G446" s="46" t="s">
        <v>5989</v>
      </c>
      <c r="H446" s="46" t="s">
        <v>5990</v>
      </c>
    </row>
    <row r="447" spans="2:8">
      <c r="B447" s="46" t="s">
        <v>240</v>
      </c>
      <c r="C447" s="46" t="s">
        <v>5991</v>
      </c>
      <c r="D447" s="46" t="s">
        <v>5992</v>
      </c>
      <c r="E447" s="46" t="s">
        <v>92</v>
      </c>
      <c r="F447" s="46" t="s">
        <v>5993</v>
      </c>
      <c r="G447" s="46" t="s">
        <v>5994</v>
      </c>
      <c r="H447" s="46" t="s">
        <v>5995</v>
      </c>
    </row>
    <row r="448" spans="2:8">
      <c r="B448" s="46" t="s">
        <v>240</v>
      </c>
      <c r="C448" s="46" t="s">
        <v>5996</v>
      </c>
      <c r="D448" s="46" t="s">
        <v>5997</v>
      </c>
    </row>
    <row r="449" spans="2:8">
      <c r="B449" s="46" t="s">
        <v>241</v>
      </c>
      <c r="C449" s="46" t="s">
        <v>5998</v>
      </c>
      <c r="D449" s="46" t="s">
        <v>5999</v>
      </c>
      <c r="E449" s="46" t="s">
        <v>181</v>
      </c>
      <c r="F449" s="46" t="s">
        <v>6000</v>
      </c>
      <c r="G449" s="46" t="s">
        <v>6001</v>
      </c>
      <c r="H449" s="46" t="s">
        <v>6002</v>
      </c>
    </row>
    <row r="450" spans="2:8">
      <c r="B450" s="46" t="s">
        <v>241</v>
      </c>
      <c r="C450" s="46" t="s">
        <v>6003</v>
      </c>
      <c r="D450" s="46" t="s">
        <v>6004</v>
      </c>
      <c r="E450" s="46" t="s">
        <v>101</v>
      </c>
      <c r="F450" s="46" t="s">
        <v>6005</v>
      </c>
      <c r="G450" s="46" t="s">
        <v>6006</v>
      </c>
      <c r="H450" s="46" t="s">
        <v>6007</v>
      </c>
    </row>
    <row r="451" spans="2:8">
      <c r="B451" s="46" t="s">
        <v>241</v>
      </c>
      <c r="C451" s="46" t="s">
        <v>6008</v>
      </c>
      <c r="D451" s="46" t="s">
        <v>6009</v>
      </c>
    </row>
    <row r="452" spans="2:8">
      <c r="B452" s="46" t="s">
        <v>242</v>
      </c>
      <c r="C452" s="46" t="s">
        <v>6010</v>
      </c>
      <c r="D452" s="46" t="s">
        <v>6011</v>
      </c>
      <c r="E452" s="46" t="s">
        <v>181</v>
      </c>
      <c r="F452" s="46" t="s">
        <v>6012</v>
      </c>
      <c r="G452" s="46" t="s">
        <v>6013</v>
      </c>
      <c r="H452" s="46" t="s">
        <v>6014</v>
      </c>
    </row>
    <row r="453" spans="2:8">
      <c r="B453" s="46" t="s">
        <v>242</v>
      </c>
      <c r="C453" s="46" t="s">
        <v>6015</v>
      </c>
      <c r="D453" s="46" t="s">
        <v>6016</v>
      </c>
      <c r="E453" s="46" t="s">
        <v>104</v>
      </c>
      <c r="F453" s="46" t="s">
        <v>6017</v>
      </c>
      <c r="G453" s="46" t="s">
        <v>6018</v>
      </c>
      <c r="H453" s="46" t="s">
        <v>6019</v>
      </c>
    </row>
    <row r="454" spans="2:8">
      <c r="B454" s="46" t="s">
        <v>242</v>
      </c>
      <c r="C454" s="46" t="s">
        <v>6020</v>
      </c>
      <c r="D454" s="46" t="s">
        <v>6021</v>
      </c>
    </row>
    <row r="455" spans="2:8">
      <c r="B455" s="46" t="s">
        <v>243</v>
      </c>
      <c r="C455" s="46" t="s">
        <v>6022</v>
      </c>
      <c r="D455" s="46" t="s">
        <v>6023</v>
      </c>
      <c r="E455" s="46" t="s">
        <v>181</v>
      </c>
      <c r="F455" s="46" t="s">
        <v>6024</v>
      </c>
      <c r="G455" s="46" t="s">
        <v>6025</v>
      </c>
      <c r="H455" s="46" t="s">
        <v>6026</v>
      </c>
    </row>
    <row r="456" spans="2:8">
      <c r="B456" s="46" t="s">
        <v>243</v>
      </c>
      <c r="C456" s="46" t="s">
        <v>6027</v>
      </c>
      <c r="D456" s="46" t="s">
        <v>6028</v>
      </c>
      <c r="E456" s="46" t="s">
        <v>103</v>
      </c>
      <c r="F456" s="46" t="s">
        <v>6029</v>
      </c>
      <c r="G456" s="46" t="s">
        <v>6030</v>
      </c>
      <c r="H456" s="46" t="s">
        <v>6031</v>
      </c>
    </row>
    <row r="457" spans="2:8">
      <c r="B457" s="46" t="s">
        <v>243</v>
      </c>
      <c r="C457" s="46" t="s">
        <v>6032</v>
      </c>
      <c r="D457" s="46" t="s">
        <v>6033</v>
      </c>
    </row>
    <row r="458" spans="2:8">
      <c r="B458" s="46" t="s">
        <v>244</v>
      </c>
      <c r="C458" s="46" t="s">
        <v>6034</v>
      </c>
      <c r="D458" s="46" t="s">
        <v>6035</v>
      </c>
      <c r="E458" s="46" t="s">
        <v>181</v>
      </c>
      <c r="F458" s="46" t="s">
        <v>6036</v>
      </c>
      <c r="G458" s="46" t="s">
        <v>6037</v>
      </c>
      <c r="H458" s="46" t="s">
        <v>6038</v>
      </c>
    </row>
    <row r="459" spans="2:8">
      <c r="B459" s="46" t="s">
        <v>244</v>
      </c>
      <c r="C459" s="46" t="s">
        <v>6039</v>
      </c>
      <c r="D459" s="46" t="s">
        <v>6040</v>
      </c>
      <c r="E459" s="46" t="s">
        <v>105</v>
      </c>
      <c r="F459" s="46" t="s">
        <v>6041</v>
      </c>
      <c r="G459" s="46" t="s">
        <v>6042</v>
      </c>
      <c r="H459" s="46" t="s">
        <v>6043</v>
      </c>
    </row>
    <row r="460" spans="2:8">
      <c r="B460" s="46" t="s">
        <v>244</v>
      </c>
      <c r="C460" s="46" t="s">
        <v>6044</v>
      </c>
      <c r="D460" s="46" t="s">
        <v>6045</v>
      </c>
    </row>
    <row r="461" spans="2:8">
      <c r="B461" s="46" t="s">
        <v>245</v>
      </c>
      <c r="C461" s="46" t="s">
        <v>6046</v>
      </c>
      <c r="D461" s="46" t="s">
        <v>6047</v>
      </c>
      <c r="E461" s="46" t="s">
        <v>181</v>
      </c>
      <c r="F461" s="46" t="s">
        <v>6048</v>
      </c>
      <c r="G461" s="46" t="s">
        <v>6049</v>
      </c>
      <c r="H461" s="46" t="s">
        <v>6050</v>
      </c>
    </row>
    <row r="462" spans="2:8">
      <c r="B462" s="46" t="s">
        <v>245</v>
      </c>
      <c r="C462" s="46" t="s">
        <v>6051</v>
      </c>
      <c r="D462" s="46" t="s">
        <v>6052</v>
      </c>
      <c r="E462" s="46" t="s">
        <v>102</v>
      </c>
      <c r="F462" s="46" t="s">
        <v>6053</v>
      </c>
      <c r="G462" s="46" t="s">
        <v>6054</v>
      </c>
      <c r="H462" s="46" t="s">
        <v>6055</v>
      </c>
    </row>
    <row r="463" spans="2:8">
      <c r="B463" s="46" t="s">
        <v>245</v>
      </c>
      <c r="C463" s="46" t="s">
        <v>6056</v>
      </c>
      <c r="D463" s="46" t="s">
        <v>6057</v>
      </c>
      <c r="E463" s="46" t="s">
        <v>104</v>
      </c>
      <c r="F463" s="46" t="s">
        <v>6058</v>
      </c>
      <c r="G463" s="46" t="s">
        <v>6059</v>
      </c>
      <c r="H463" s="46" t="s">
        <v>6060</v>
      </c>
    </row>
    <row r="464" spans="2:8">
      <c r="B464" s="46" t="s">
        <v>245</v>
      </c>
      <c r="C464" s="46" t="s">
        <v>6061</v>
      </c>
      <c r="D464" s="46" t="s">
        <v>6062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55EA31-B0C3-4CE3-A506-CA0ED1771142}">
  <dimension ref="A1:O136"/>
  <sheetViews>
    <sheetView workbookViewId="0"/>
  </sheetViews>
  <sheetFormatPr baseColWidth="10" defaultColWidth="9.140625" defaultRowHeight="15"/>
  <sheetData>
    <row r="1" spans="1:15">
      <c r="A1" s="46" t="s">
        <v>6155</v>
      </c>
      <c r="B1" s="46" t="s">
        <v>0</v>
      </c>
      <c r="C1" s="46" t="s">
        <v>0</v>
      </c>
      <c r="D1" s="46" t="s">
        <v>0</v>
      </c>
      <c r="E1" s="46" t="s">
        <v>0</v>
      </c>
      <c r="F1" s="46" t="s">
        <v>0</v>
      </c>
      <c r="G1" s="46" t="s">
        <v>0</v>
      </c>
      <c r="H1" s="46" t="s">
        <v>0</v>
      </c>
      <c r="I1" s="46" t="s">
        <v>0</v>
      </c>
      <c r="J1" s="46" t="s">
        <v>0</v>
      </c>
      <c r="K1" s="46" t="s">
        <v>0</v>
      </c>
      <c r="L1" s="46" t="s">
        <v>0</v>
      </c>
      <c r="M1" s="46" t="s">
        <v>0</v>
      </c>
      <c r="N1" s="46" t="s">
        <v>0</v>
      </c>
      <c r="O1" s="46" t="s">
        <v>0</v>
      </c>
    </row>
    <row r="3" spans="1:15">
      <c r="B3" s="46" t="s">
        <v>373</v>
      </c>
    </row>
    <row r="5" spans="1:15">
      <c r="I5" s="46" t="s">
        <v>2</v>
      </c>
    </row>
    <row r="6" spans="1:15">
      <c r="B6" s="46" t="s">
        <v>3</v>
      </c>
      <c r="C6" s="46" t="s">
        <v>4</v>
      </c>
      <c r="D6" s="46" t="s">
        <v>1040</v>
      </c>
      <c r="E6" s="46" t="s">
        <v>5</v>
      </c>
      <c r="G6" s="46" t="s">
        <v>1041</v>
      </c>
      <c r="H6" s="46" t="s">
        <v>6</v>
      </c>
      <c r="I6" s="46" t="s">
        <v>7</v>
      </c>
      <c r="J6" s="46" t="s">
        <v>8</v>
      </c>
      <c r="K6" s="46" t="s">
        <v>9</v>
      </c>
      <c r="L6" s="46" t="s">
        <v>10</v>
      </c>
      <c r="M6" s="46" t="s">
        <v>11</v>
      </c>
      <c r="N6" s="46" t="s">
        <v>12</v>
      </c>
      <c r="O6" s="46" t="s">
        <v>13</v>
      </c>
    </row>
    <row r="7" spans="1:15">
      <c r="B7" s="46" t="s">
        <v>372</v>
      </c>
      <c r="C7" s="46" t="s">
        <v>6063</v>
      </c>
      <c r="D7" s="46" t="s">
        <v>2372</v>
      </c>
      <c r="E7" s="46" t="s">
        <v>371</v>
      </c>
      <c r="F7" s="46" t="s">
        <v>6064</v>
      </c>
      <c r="G7" s="46" t="s">
        <v>6065</v>
      </c>
      <c r="H7" s="46" t="s">
        <v>1095</v>
      </c>
      <c r="I7" s="46" t="s">
        <v>2242</v>
      </c>
      <c r="J7" s="46" t="s">
        <v>2243</v>
      </c>
      <c r="K7" s="46" t="s">
        <v>2244</v>
      </c>
      <c r="L7" s="46" t="s">
        <v>2245</v>
      </c>
      <c r="M7" s="46" t="s">
        <v>2246</v>
      </c>
      <c r="N7" s="46" t="s">
        <v>2247</v>
      </c>
      <c r="O7" s="46" t="s">
        <v>2248</v>
      </c>
    </row>
    <row r="8" spans="1:15">
      <c r="B8" s="46" t="s">
        <v>372</v>
      </c>
      <c r="C8" s="46" t="s">
        <v>4637</v>
      </c>
      <c r="D8" s="46" t="s">
        <v>2382</v>
      </c>
      <c r="E8" s="46" t="s">
        <v>254</v>
      </c>
      <c r="F8" s="46" t="s">
        <v>4638</v>
      </c>
      <c r="G8" s="46" t="s">
        <v>4639</v>
      </c>
      <c r="H8" s="46" t="s">
        <v>1095</v>
      </c>
      <c r="I8" s="46" t="s">
        <v>1045</v>
      </c>
      <c r="J8" s="46" t="s">
        <v>1046</v>
      </c>
      <c r="K8" s="46" t="s">
        <v>1047</v>
      </c>
      <c r="L8" s="46" t="s">
        <v>1048</v>
      </c>
      <c r="M8" s="46" t="s">
        <v>1049</v>
      </c>
      <c r="N8" s="46" t="s">
        <v>1050</v>
      </c>
      <c r="O8" s="46" t="s">
        <v>1051</v>
      </c>
    </row>
    <row r="9" spans="1:15">
      <c r="B9" s="46" t="s">
        <v>372</v>
      </c>
      <c r="C9" s="46" t="s">
        <v>4640</v>
      </c>
      <c r="D9" s="46" t="s">
        <v>2392</v>
      </c>
      <c r="O9" s="46" t="s">
        <v>1059</v>
      </c>
    </row>
    <row r="10" spans="1:15">
      <c r="B10" s="46" t="s">
        <v>370</v>
      </c>
      <c r="C10" s="46" t="s">
        <v>4643</v>
      </c>
      <c r="D10" s="46" t="s">
        <v>2402</v>
      </c>
      <c r="E10" s="46" t="s">
        <v>371</v>
      </c>
      <c r="F10" s="46" t="s">
        <v>6066</v>
      </c>
      <c r="G10" s="46" t="s">
        <v>6067</v>
      </c>
      <c r="H10" s="46" t="s">
        <v>1095</v>
      </c>
      <c r="I10" s="46" t="s">
        <v>2249</v>
      </c>
      <c r="J10" s="46" t="s">
        <v>2250</v>
      </c>
      <c r="K10" s="46" t="s">
        <v>2251</v>
      </c>
      <c r="L10" s="46" t="s">
        <v>2252</v>
      </c>
      <c r="M10" s="46" t="s">
        <v>2253</v>
      </c>
      <c r="N10" s="46" t="s">
        <v>2254</v>
      </c>
      <c r="O10" s="46" t="s">
        <v>1060</v>
      </c>
    </row>
    <row r="11" spans="1:15">
      <c r="B11" s="46" t="s">
        <v>370</v>
      </c>
      <c r="C11" s="46" t="s">
        <v>4644</v>
      </c>
      <c r="D11" s="46" t="s">
        <v>2412</v>
      </c>
      <c r="E11" s="46" t="s">
        <v>253</v>
      </c>
      <c r="F11" s="46" t="s">
        <v>4645</v>
      </c>
      <c r="G11" s="46" t="s">
        <v>4646</v>
      </c>
      <c r="H11" s="46" t="s">
        <v>1095</v>
      </c>
      <c r="I11" s="46" t="s">
        <v>1062</v>
      </c>
      <c r="J11" s="46" t="s">
        <v>1063</v>
      </c>
      <c r="K11" s="46" t="s">
        <v>1064</v>
      </c>
      <c r="L11" s="46" t="s">
        <v>1065</v>
      </c>
      <c r="M11" s="46" t="s">
        <v>1066</v>
      </c>
      <c r="N11" s="46" t="s">
        <v>1067</v>
      </c>
      <c r="O11" s="46" t="s">
        <v>1068</v>
      </c>
    </row>
    <row r="12" spans="1:15">
      <c r="B12" s="46" t="s">
        <v>370</v>
      </c>
      <c r="C12" s="46" t="s">
        <v>4647</v>
      </c>
      <c r="D12" s="46" t="s">
        <v>2422</v>
      </c>
      <c r="O12" s="46" t="s">
        <v>1076</v>
      </c>
    </row>
    <row r="13" spans="1:15">
      <c r="B13" s="46" t="s">
        <v>367</v>
      </c>
      <c r="C13" s="46" t="s">
        <v>4650</v>
      </c>
      <c r="D13" s="46" t="s">
        <v>2432</v>
      </c>
      <c r="E13" s="46" t="s">
        <v>369</v>
      </c>
      <c r="F13" s="46" t="s">
        <v>6068</v>
      </c>
      <c r="G13" s="46" t="s">
        <v>6069</v>
      </c>
      <c r="H13" s="46" t="s">
        <v>1095</v>
      </c>
      <c r="I13" s="46" t="s">
        <v>2255</v>
      </c>
      <c r="J13" s="46" t="s">
        <v>2256</v>
      </c>
      <c r="K13" s="46" t="s">
        <v>2257</v>
      </c>
      <c r="L13" s="46" t="s">
        <v>2258</v>
      </c>
      <c r="M13" s="46" t="s">
        <v>2259</v>
      </c>
      <c r="N13" s="46" t="s">
        <v>2260</v>
      </c>
      <c r="O13" s="46" t="s">
        <v>1077</v>
      </c>
    </row>
    <row r="14" spans="1:15">
      <c r="B14" s="46" t="s">
        <v>367</v>
      </c>
      <c r="C14" s="46" t="s">
        <v>4651</v>
      </c>
      <c r="D14" s="46" t="s">
        <v>2442</v>
      </c>
      <c r="E14" s="46" t="s">
        <v>368</v>
      </c>
      <c r="F14" s="46" t="s">
        <v>4652</v>
      </c>
      <c r="G14" s="46" t="s">
        <v>4653</v>
      </c>
      <c r="H14" s="46" t="s">
        <v>1095</v>
      </c>
      <c r="I14" s="46" t="s">
        <v>1079</v>
      </c>
      <c r="J14" s="46" t="s">
        <v>1080</v>
      </c>
      <c r="K14" s="46" t="s">
        <v>1081</v>
      </c>
      <c r="L14" s="46" t="s">
        <v>1082</v>
      </c>
      <c r="M14" s="46" t="s">
        <v>1083</v>
      </c>
      <c r="N14" s="46" t="s">
        <v>1084</v>
      </c>
      <c r="O14" s="46" t="s">
        <v>1085</v>
      </c>
    </row>
    <row r="15" spans="1:15">
      <c r="B15" s="46" t="s">
        <v>367</v>
      </c>
      <c r="C15" s="46" t="s">
        <v>4654</v>
      </c>
      <c r="D15" s="46" t="s">
        <v>2452</v>
      </c>
      <c r="O15" s="46" t="s">
        <v>1093</v>
      </c>
    </row>
    <row r="16" spans="1:15">
      <c r="B16" s="46" t="s">
        <v>364</v>
      </c>
      <c r="C16" s="46" t="s">
        <v>4657</v>
      </c>
      <c r="D16" s="46" t="s">
        <v>2462</v>
      </c>
      <c r="E16" s="46" t="s">
        <v>366</v>
      </c>
      <c r="F16" s="46" t="s">
        <v>6070</v>
      </c>
      <c r="G16" s="46" t="s">
        <v>6071</v>
      </c>
      <c r="H16" s="46" t="s">
        <v>1095</v>
      </c>
      <c r="I16" s="46" t="s">
        <v>2261</v>
      </c>
      <c r="J16" s="46" t="s">
        <v>2262</v>
      </c>
      <c r="K16" s="46" t="s">
        <v>2263</v>
      </c>
      <c r="L16" s="46" t="s">
        <v>2264</v>
      </c>
      <c r="M16" s="46" t="s">
        <v>2265</v>
      </c>
      <c r="N16" s="46" t="s">
        <v>2266</v>
      </c>
      <c r="O16" s="46" t="s">
        <v>1094</v>
      </c>
    </row>
    <row r="17" spans="2:15">
      <c r="B17" s="46" t="s">
        <v>364</v>
      </c>
      <c r="C17" s="46" t="s">
        <v>4658</v>
      </c>
      <c r="D17" s="46" t="s">
        <v>2472</v>
      </c>
      <c r="E17" s="46" t="s">
        <v>365</v>
      </c>
      <c r="F17" s="46" t="s">
        <v>6072</v>
      </c>
      <c r="G17" s="46" t="s">
        <v>6073</v>
      </c>
      <c r="H17" s="46" t="s">
        <v>1095</v>
      </c>
      <c r="I17" s="46" t="s">
        <v>1096</v>
      </c>
      <c r="J17" s="46" t="s">
        <v>1097</v>
      </c>
      <c r="K17" s="46" t="s">
        <v>1098</v>
      </c>
      <c r="L17" s="46" t="s">
        <v>1099</v>
      </c>
      <c r="M17" s="46" t="s">
        <v>1100</v>
      </c>
      <c r="N17" s="46" t="s">
        <v>1101</v>
      </c>
      <c r="O17" s="46" t="s">
        <v>1102</v>
      </c>
    </row>
    <row r="18" spans="2:15">
      <c r="B18" s="46" t="s">
        <v>364</v>
      </c>
      <c r="C18" s="46" t="s">
        <v>4659</v>
      </c>
      <c r="D18" s="46" t="s">
        <v>2482</v>
      </c>
      <c r="O18" s="46" t="s">
        <v>1109</v>
      </c>
    </row>
    <row r="19" spans="2:15">
      <c r="B19" s="46" t="s">
        <v>361</v>
      </c>
      <c r="C19" s="46" t="s">
        <v>4660</v>
      </c>
      <c r="D19" s="46" t="s">
        <v>2492</v>
      </c>
      <c r="E19" s="46" t="s">
        <v>363</v>
      </c>
      <c r="F19" s="46" t="s">
        <v>4661</v>
      </c>
      <c r="G19" s="46" t="s">
        <v>4662</v>
      </c>
      <c r="H19" s="46" t="s">
        <v>1095</v>
      </c>
      <c r="I19" s="46" t="s">
        <v>1111</v>
      </c>
      <c r="J19" s="46" t="s">
        <v>1112</v>
      </c>
      <c r="K19" s="46" t="s">
        <v>1113</v>
      </c>
      <c r="L19" s="46" t="s">
        <v>1114</v>
      </c>
      <c r="M19" s="46" t="s">
        <v>1115</v>
      </c>
      <c r="N19" s="46" t="s">
        <v>1116</v>
      </c>
      <c r="O19" s="46" t="s">
        <v>1117</v>
      </c>
    </row>
    <row r="20" spans="2:15">
      <c r="B20" s="46" t="s">
        <v>361</v>
      </c>
      <c r="C20" s="46" t="s">
        <v>4663</v>
      </c>
      <c r="D20" s="46" t="s">
        <v>2502</v>
      </c>
      <c r="E20" s="46" t="s">
        <v>362</v>
      </c>
      <c r="F20" s="46" t="s">
        <v>4664</v>
      </c>
      <c r="G20" s="46" t="s">
        <v>4665</v>
      </c>
      <c r="H20" s="46" t="s">
        <v>1095</v>
      </c>
      <c r="I20" s="46" t="s">
        <v>1119</v>
      </c>
      <c r="J20" s="46" t="s">
        <v>1120</v>
      </c>
      <c r="K20" s="46" t="s">
        <v>1121</v>
      </c>
      <c r="L20" s="46" t="s">
        <v>1122</v>
      </c>
      <c r="M20" s="46" t="s">
        <v>1123</v>
      </c>
      <c r="N20" s="46" t="s">
        <v>1124</v>
      </c>
      <c r="O20" s="46" t="s">
        <v>1125</v>
      </c>
    </row>
    <row r="21" spans="2:15">
      <c r="B21" s="46" t="s">
        <v>361</v>
      </c>
      <c r="C21" s="46" t="s">
        <v>4666</v>
      </c>
      <c r="D21" s="46" t="s">
        <v>2512</v>
      </c>
      <c r="O21" s="46" t="s">
        <v>1126</v>
      </c>
    </row>
    <row r="22" spans="2:15">
      <c r="B22" s="46" t="s">
        <v>360</v>
      </c>
      <c r="C22" s="46" t="s">
        <v>4667</v>
      </c>
      <c r="D22" s="46" t="s">
        <v>2522</v>
      </c>
      <c r="I22" s="46" t="s">
        <v>1128</v>
      </c>
      <c r="J22" s="46" t="s">
        <v>1129</v>
      </c>
      <c r="K22" s="46" t="s">
        <v>1130</v>
      </c>
      <c r="L22" s="46" t="s">
        <v>1131</v>
      </c>
      <c r="M22" s="46" t="s">
        <v>1132</v>
      </c>
      <c r="N22" s="46" t="s">
        <v>1133</v>
      </c>
      <c r="O22" s="46" t="s">
        <v>1134</v>
      </c>
    </row>
    <row r="23" spans="2:15">
      <c r="B23" s="46" t="s">
        <v>357</v>
      </c>
      <c r="C23" s="46" t="s">
        <v>4670</v>
      </c>
      <c r="D23" s="46" t="s">
        <v>2532</v>
      </c>
      <c r="E23" s="46" t="s">
        <v>359</v>
      </c>
      <c r="F23" s="46" t="s">
        <v>4671</v>
      </c>
      <c r="G23" s="46" t="s">
        <v>4672</v>
      </c>
      <c r="H23" s="46" t="s">
        <v>1095</v>
      </c>
      <c r="I23" s="46" t="s">
        <v>1136</v>
      </c>
      <c r="J23" s="46" t="s">
        <v>1137</v>
      </c>
      <c r="K23" s="46" t="s">
        <v>1138</v>
      </c>
      <c r="L23" s="46" t="s">
        <v>1139</v>
      </c>
      <c r="M23" s="46" t="s">
        <v>1140</v>
      </c>
      <c r="N23" s="46" t="s">
        <v>1141</v>
      </c>
      <c r="O23" s="46" t="s">
        <v>1142</v>
      </c>
    </row>
    <row r="24" spans="2:15">
      <c r="B24" s="46" t="s">
        <v>357</v>
      </c>
      <c r="C24" s="46" t="s">
        <v>4673</v>
      </c>
      <c r="D24" s="46" t="s">
        <v>2541</v>
      </c>
      <c r="E24" s="46" t="s">
        <v>358</v>
      </c>
      <c r="F24" s="46" t="s">
        <v>6074</v>
      </c>
      <c r="G24" s="46" t="s">
        <v>6075</v>
      </c>
      <c r="H24" s="46" t="s">
        <v>1095</v>
      </c>
      <c r="I24" s="46" t="s">
        <v>2267</v>
      </c>
      <c r="J24" s="46" t="s">
        <v>2268</v>
      </c>
      <c r="K24" s="46" t="s">
        <v>2269</v>
      </c>
      <c r="L24" s="46" t="s">
        <v>2270</v>
      </c>
      <c r="M24" s="46" t="s">
        <v>2271</v>
      </c>
      <c r="N24" s="46" t="s">
        <v>2272</v>
      </c>
      <c r="O24" s="46" t="s">
        <v>1143</v>
      </c>
    </row>
    <row r="25" spans="2:15">
      <c r="B25" s="46" t="s">
        <v>357</v>
      </c>
      <c r="C25" s="46" t="s">
        <v>4674</v>
      </c>
      <c r="D25" s="46" t="s">
        <v>2550</v>
      </c>
      <c r="O25" s="46" t="s">
        <v>1151</v>
      </c>
    </row>
    <row r="26" spans="2:15">
      <c r="B26" s="46" t="s">
        <v>356</v>
      </c>
      <c r="C26" s="46" t="s">
        <v>4677</v>
      </c>
      <c r="D26" s="46" t="s">
        <v>2560</v>
      </c>
      <c r="I26" s="46" t="s">
        <v>1153</v>
      </c>
      <c r="J26" s="46" t="s">
        <v>1154</v>
      </c>
      <c r="K26" s="46" t="s">
        <v>1155</v>
      </c>
      <c r="L26" s="46" t="s">
        <v>1156</v>
      </c>
      <c r="M26" s="46" t="s">
        <v>1157</v>
      </c>
      <c r="N26" s="46" t="s">
        <v>1158</v>
      </c>
      <c r="O26" s="46" t="s">
        <v>1159</v>
      </c>
    </row>
    <row r="27" spans="2:15">
      <c r="B27" s="46" t="s">
        <v>355</v>
      </c>
      <c r="C27" s="46" t="s">
        <v>4680</v>
      </c>
      <c r="D27" s="46" t="s">
        <v>2570</v>
      </c>
      <c r="I27" s="46" t="s">
        <v>2273</v>
      </c>
      <c r="J27" s="46" t="s">
        <v>2274</v>
      </c>
      <c r="K27" s="46" t="s">
        <v>2275</v>
      </c>
      <c r="L27" s="46" t="s">
        <v>2276</v>
      </c>
      <c r="M27" s="46" t="s">
        <v>2277</v>
      </c>
      <c r="N27" s="46" t="s">
        <v>2278</v>
      </c>
      <c r="O27" s="46" t="s">
        <v>1160</v>
      </c>
    </row>
    <row r="28" spans="2:15">
      <c r="B28" s="46" t="s">
        <v>351</v>
      </c>
      <c r="C28" s="46" t="s">
        <v>4681</v>
      </c>
      <c r="D28" s="46" t="s">
        <v>2580</v>
      </c>
      <c r="E28" s="46" t="s">
        <v>354</v>
      </c>
      <c r="F28" s="46" t="s">
        <v>4682</v>
      </c>
      <c r="G28" s="46" t="s">
        <v>4683</v>
      </c>
      <c r="H28" s="46" t="s">
        <v>1095</v>
      </c>
      <c r="I28" s="46" t="s">
        <v>1162</v>
      </c>
      <c r="J28" s="46" t="s">
        <v>1163</v>
      </c>
      <c r="K28" s="46" t="s">
        <v>1164</v>
      </c>
      <c r="L28" s="46" t="s">
        <v>1165</v>
      </c>
      <c r="M28" s="46" t="s">
        <v>1166</v>
      </c>
      <c r="N28" s="46" t="s">
        <v>1167</v>
      </c>
      <c r="O28" s="46" t="s">
        <v>1168</v>
      </c>
    </row>
    <row r="29" spans="2:15">
      <c r="B29" s="46" t="s">
        <v>351</v>
      </c>
      <c r="C29" s="46" t="s">
        <v>4684</v>
      </c>
      <c r="D29" s="46" t="s">
        <v>2590</v>
      </c>
      <c r="E29" s="46" t="s">
        <v>353</v>
      </c>
      <c r="F29" s="46" t="s">
        <v>4685</v>
      </c>
      <c r="G29" s="46" t="s">
        <v>4686</v>
      </c>
      <c r="H29" s="46" t="s">
        <v>1095</v>
      </c>
      <c r="I29" s="46" t="s">
        <v>1170</v>
      </c>
      <c r="J29" s="46" t="s">
        <v>1171</v>
      </c>
      <c r="K29" s="46" t="s">
        <v>1172</v>
      </c>
      <c r="L29" s="46" t="s">
        <v>1173</v>
      </c>
      <c r="M29" s="46" t="s">
        <v>1174</v>
      </c>
      <c r="N29" s="46" t="s">
        <v>1175</v>
      </c>
      <c r="O29" s="46" t="s">
        <v>1176</v>
      </c>
    </row>
    <row r="30" spans="2:15">
      <c r="B30" s="46" t="s">
        <v>351</v>
      </c>
      <c r="C30" s="46" t="s">
        <v>4687</v>
      </c>
      <c r="D30" s="46" t="s">
        <v>2600</v>
      </c>
      <c r="E30" s="46" t="s">
        <v>352</v>
      </c>
      <c r="F30" s="46" t="s">
        <v>6076</v>
      </c>
      <c r="G30" s="46" t="s">
        <v>6077</v>
      </c>
      <c r="H30" s="46" t="s">
        <v>1095</v>
      </c>
      <c r="I30" s="46" t="s">
        <v>2279</v>
      </c>
      <c r="J30" s="46" t="s">
        <v>2280</v>
      </c>
      <c r="K30" s="46" t="s">
        <v>2281</v>
      </c>
      <c r="L30" s="46" t="s">
        <v>2282</v>
      </c>
      <c r="M30" s="46" t="s">
        <v>2283</v>
      </c>
      <c r="N30" s="46" t="s">
        <v>2284</v>
      </c>
      <c r="O30" s="46" t="s">
        <v>1177</v>
      </c>
    </row>
    <row r="31" spans="2:15">
      <c r="B31" s="46" t="s">
        <v>351</v>
      </c>
      <c r="C31" s="46" t="s">
        <v>4688</v>
      </c>
      <c r="D31" s="46" t="s">
        <v>2610</v>
      </c>
      <c r="O31" s="46" t="s">
        <v>1185</v>
      </c>
    </row>
    <row r="32" spans="2:15">
      <c r="B32" s="46" t="s">
        <v>347</v>
      </c>
      <c r="C32" s="46" t="s">
        <v>4691</v>
      </c>
      <c r="D32" s="46" t="s">
        <v>2620</v>
      </c>
      <c r="E32" s="46" t="s">
        <v>350</v>
      </c>
      <c r="F32" s="46" t="s">
        <v>4692</v>
      </c>
      <c r="G32" s="46" t="s">
        <v>4693</v>
      </c>
      <c r="H32" s="46" t="s">
        <v>1095</v>
      </c>
      <c r="I32" s="46" t="s">
        <v>1187</v>
      </c>
      <c r="J32" s="46" t="s">
        <v>1188</v>
      </c>
      <c r="K32" s="46" t="s">
        <v>1189</v>
      </c>
      <c r="L32" s="46" t="s">
        <v>1190</v>
      </c>
      <c r="M32" s="46" t="s">
        <v>1191</v>
      </c>
      <c r="N32" s="46" t="s">
        <v>1192</v>
      </c>
      <c r="O32" s="46" t="s">
        <v>1193</v>
      </c>
    </row>
    <row r="33" spans="2:15">
      <c r="B33" s="46" t="s">
        <v>347</v>
      </c>
      <c r="C33" s="46" t="s">
        <v>4694</v>
      </c>
      <c r="D33" s="46" t="s">
        <v>2630</v>
      </c>
      <c r="E33" s="46" t="s">
        <v>349</v>
      </c>
      <c r="F33" s="46" t="s">
        <v>6078</v>
      </c>
      <c r="G33" s="46" t="s">
        <v>6079</v>
      </c>
      <c r="H33" s="46" t="s">
        <v>1095</v>
      </c>
      <c r="I33" s="46" t="s">
        <v>2285</v>
      </c>
      <c r="J33" s="46" t="s">
        <v>2286</v>
      </c>
      <c r="K33" s="46" t="s">
        <v>2287</v>
      </c>
      <c r="L33" s="46" t="s">
        <v>2288</v>
      </c>
      <c r="M33" s="46" t="s">
        <v>2289</v>
      </c>
      <c r="N33" s="46" t="s">
        <v>2290</v>
      </c>
      <c r="O33" s="46" t="s">
        <v>1194</v>
      </c>
    </row>
    <row r="34" spans="2:15">
      <c r="B34" s="46" t="s">
        <v>347</v>
      </c>
      <c r="C34" s="46" t="s">
        <v>4695</v>
      </c>
      <c r="D34" s="46" t="s">
        <v>2640</v>
      </c>
      <c r="E34" s="46" t="s">
        <v>348</v>
      </c>
      <c r="F34" s="46" t="s">
        <v>4696</v>
      </c>
      <c r="G34" s="46" t="s">
        <v>4697</v>
      </c>
      <c r="H34" s="46" t="s">
        <v>1095</v>
      </c>
      <c r="I34" s="46" t="s">
        <v>1196</v>
      </c>
      <c r="J34" s="46" t="s">
        <v>1197</v>
      </c>
      <c r="K34" s="46" t="s">
        <v>1198</v>
      </c>
      <c r="L34" s="46" t="s">
        <v>1199</v>
      </c>
      <c r="M34" s="46" t="s">
        <v>1200</v>
      </c>
      <c r="N34" s="46" t="s">
        <v>1201</v>
      </c>
      <c r="O34" s="46" t="s">
        <v>1202</v>
      </c>
    </row>
    <row r="35" spans="2:15">
      <c r="B35" s="46" t="s">
        <v>347</v>
      </c>
      <c r="C35" s="46" t="s">
        <v>4698</v>
      </c>
      <c r="D35" s="46" t="s">
        <v>2650</v>
      </c>
      <c r="O35" s="46" t="s">
        <v>1210</v>
      </c>
    </row>
    <row r="36" spans="2:15">
      <c r="B36" s="46" t="s">
        <v>343</v>
      </c>
      <c r="C36" s="46" t="s">
        <v>4701</v>
      </c>
      <c r="D36" s="46" t="s">
        <v>2660</v>
      </c>
      <c r="E36" s="46" t="s">
        <v>346</v>
      </c>
      <c r="F36" s="46" t="s">
        <v>6080</v>
      </c>
      <c r="G36" s="46" t="s">
        <v>6081</v>
      </c>
      <c r="H36" s="46" t="s">
        <v>1095</v>
      </c>
      <c r="I36" s="46" t="s">
        <v>2291</v>
      </c>
      <c r="J36" s="46" t="s">
        <v>2292</v>
      </c>
      <c r="K36" s="46" t="s">
        <v>2293</v>
      </c>
      <c r="L36" s="46" t="s">
        <v>2294</v>
      </c>
      <c r="M36" s="46" t="s">
        <v>2295</v>
      </c>
      <c r="N36" s="46" t="s">
        <v>2296</v>
      </c>
      <c r="O36" s="46" t="s">
        <v>1211</v>
      </c>
    </row>
    <row r="37" spans="2:15">
      <c r="B37" s="46" t="s">
        <v>343</v>
      </c>
      <c r="C37" s="46" t="s">
        <v>4702</v>
      </c>
      <c r="D37" s="46" t="s">
        <v>2670</v>
      </c>
      <c r="E37" s="46" t="s">
        <v>345</v>
      </c>
      <c r="F37" s="46" t="s">
        <v>4703</v>
      </c>
      <c r="G37" s="46" t="s">
        <v>4704</v>
      </c>
      <c r="H37" s="46" t="s">
        <v>1095</v>
      </c>
      <c r="I37" s="46" t="s">
        <v>1213</v>
      </c>
      <c r="J37" s="46" t="s">
        <v>1214</v>
      </c>
      <c r="K37" s="46" t="s">
        <v>1215</v>
      </c>
      <c r="L37" s="46" t="s">
        <v>1216</v>
      </c>
      <c r="M37" s="46" t="s">
        <v>1217</v>
      </c>
      <c r="N37" s="46" t="s">
        <v>1218</v>
      </c>
      <c r="O37" s="46" t="s">
        <v>1219</v>
      </c>
    </row>
    <row r="38" spans="2:15">
      <c r="B38" s="46" t="s">
        <v>343</v>
      </c>
      <c r="C38" s="46" t="s">
        <v>4705</v>
      </c>
      <c r="D38" s="46" t="s">
        <v>2680</v>
      </c>
      <c r="E38" s="46" t="s">
        <v>344</v>
      </c>
      <c r="F38" s="46" t="s">
        <v>4706</v>
      </c>
      <c r="G38" s="46" t="s">
        <v>4707</v>
      </c>
      <c r="H38" s="46" t="s">
        <v>1095</v>
      </c>
      <c r="I38" s="46" t="s">
        <v>1221</v>
      </c>
      <c r="J38" s="46" t="s">
        <v>1222</v>
      </c>
      <c r="K38" s="46" t="s">
        <v>1223</v>
      </c>
      <c r="L38" s="46" t="s">
        <v>1224</v>
      </c>
      <c r="M38" s="46" t="s">
        <v>1225</v>
      </c>
      <c r="N38" s="46" t="s">
        <v>1226</v>
      </c>
      <c r="O38" s="46" t="s">
        <v>1227</v>
      </c>
    </row>
    <row r="39" spans="2:15">
      <c r="B39" s="46" t="s">
        <v>343</v>
      </c>
      <c r="C39" s="46" t="s">
        <v>4708</v>
      </c>
      <c r="D39" s="46" t="s">
        <v>2690</v>
      </c>
      <c r="O39" s="46" t="s">
        <v>1228</v>
      </c>
    </row>
    <row r="40" spans="2:15">
      <c r="B40" s="46" t="s">
        <v>338</v>
      </c>
      <c r="C40" s="46" t="s">
        <v>4709</v>
      </c>
      <c r="D40" s="46" t="s">
        <v>2700</v>
      </c>
      <c r="E40" s="46" t="s">
        <v>342</v>
      </c>
      <c r="F40" s="46" t="s">
        <v>4710</v>
      </c>
      <c r="G40" s="46" t="s">
        <v>4711</v>
      </c>
      <c r="H40" s="46" t="s">
        <v>1095</v>
      </c>
      <c r="I40" s="46" t="s">
        <v>1230</v>
      </c>
      <c r="J40" s="46" t="s">
        <v>1231</v>
      </c>
      <c r="K40" s="46" t="s">
        <v>1232</v>
      </c>
      <c r="L40" s="46" t="s">
        <v>1233</v>
      </c>
      <c r="M40" s="46" t="s">
        <v>1234</v>
      </c>
      <c r="N40" s="46" t="s">
        <v>1235</v>
      </c>
      <c r="O40" s="46" t="s">
        <v>1236</v>
      </c>
    </row>
    <row r="41" spans="2:15">
      <c r="B41" s="46" t="s">
        <v>338</v>
      </c>
      <c r="C41" s="46" t="s">
        <v>4712</v>
      </c>
      <c r="D41" s="46" t="s">
        <v>2710</v>
      </c>
      <c r="E41" s="46" t="s">
        <v>341</v>
      </c>
      <c r="F41" s="46" t="s">
        <v>4713</v>
      </c>
      <c r="G41" s="46" t="s">
        <v>4714</v>
      </c>
      <c r="H41" s="46" t="s">
        <v>1095</v>
      </c>
      <c r="I41" s="46" t="s">
        <v>1238</v>
      </c>
      <c r="J41" s="46" t="s">
        <v>1239</v>
      </c>
      <c r="K41" s="46" t="s">
        <v>1240</v>
      </c>
      <c r="L41" s="46" t="s">
        <v>1241</v>
      </c>
      <c r="M41" s="46" t="s">
        <v>1242</v>
      </c>
      <c r="N41" s="46" t="s">
        <v>1243</v>
      </c>
      <c r="O41" s="46" t="s">
        <v>1244</v>
      </c>
    </row>
    <row r="42" spans="2:15">
      <c r="B42" s="46" t="s">
        <v>338</v>
      </c>
      <c r="C42" s="46" t="s">
        <v>4715</v>
      </c>
      <c r="D42" s="46" t="s">
        <v>2720</v>
      </c>
      <c r="E42" s="46" t="s">
        <v>340</v>
      </c>
      <c r="F42" s="46" t="s">
        <v>6082</v>
      </c>
      <c r="G42" s="46" t="s">
        <v>6083</v>
      </c>
      <c r="H42" s="46" t="s">
        <v>1095</v>
      </c>
      <c r="I42" s="46" t="s">
        <v>2297</v>
      </c>
      <c r="J42" s="46" t="s">
        <v>2298</v>
      </c>
      <c r="K42" s="46" t="s">
        <v>2299</v>
      </c>
      <c r="L42" s="46" t="s">
        <v>2300</v>
      </c>
      <c r="M42" s="46" t="s">
        <v>2301</v>
      </c>
      <c r="N42" s="46" t="s">
        <v>2302</v>
      </c>
      <c r="O42" s="46" t="s">
        <v>1245</v>
      </c>
    </row>
    <row r="43" spans="2:15">
      <c r="B43" s="46" t="s">
        <v>338</v>
      </c>
      <c r="C43" s="46" t="s">
        <v>4716</v>
      </c>
      <c r="D43" s="46" t="s">
        <v>2730</v>
      </c>
      <c r="E43" s="46" t="s">
        <v>339</v>
      </c>
      <c r="F43" s="46" t="s">
        <v>4717</v>
      </c>
      <c r="G43" s="46" t="s">
        <v>4718</v>
      </c>
      <c r="H43" s="46" t="s">
        <v>1095</v>
      </c>
      <c r="I43" s="46" t="s">
        <v>1247</v>
      </c>
      <c r="J43" s="46" t="s">
        <v>1248</v>
      </c>
      <c r="K43" s="46" t="s">
        <v>1249</v>
      </c>
      <c r="L43" s="46" t="s">
        <v>1250</v>
      </c>
      <c r="M43" s="46" t="s">
        <v>1251</v>
      </c>
      <c r="N43" s="46" t="s">
        <v>1252</v>
      </c>
      <c r="O43" s="46" t="s">
        <v>1253</v>
      </c>
    </row>
    <row r="44" spans="2:15">
      <c r="B44" s="46" t="s">
        <v>338</v>
      </c>
      <c r="C44" s="46" t="s">
        <v>4719</v>
      </c>
      <c r="D44" s="46" t="s">
        <v>2740</v>
      </c>
      <c r="O44" s="46" t="s">
        <v>1261</v>
      </c>
    </row>
    <row r="45" spans="2:15">
      <c r="B45" s="46" t="s">
        <v>332</v>
      </c>
      <c r="C45" s="46" t="s">
        <v>4722</v>
      </c>
      <c r="D45" s="46" t="s">
        <v>2750</v>
      </c>
      <c r="E45" s="46" t="s">
        <v>337</v>
      </c>
      <c r="F45" s="46" t="s">
        <v>6084</v>
      </c>
      <c r="G45" s="46" t="s">
        <v>6085</v>
      </c>
      <c r="H45" s="46" t="s">
        <v>1095</v>
      </c>
      <c r="I45" s="46" t="s">
        <v>2303</v>
      </c>
      <c r="J45" s="46" t="s">
        <v>2304</v>
      </c>
      <c r="K45" s="46" t="s">
        <v>2305</v>
      </c>
      <c r="L45" s="46" t="s">
        <v>2306</v>
      </c>
      <c r="M45" s="46" t="s">
        <v>2307</v>
      </c>
      <c r="N45" s="46" t="s">
        <v>2308</v>
      </c>
      <c r="O45" s="46" t="s">
        <v>1262</v>
      </c>
    </row>
    <row r="46" spans="2:15">
      <c r="B46" s="46" t="s">
        <v>332</v>
      </c>
      <c r="C46" s="46" t="s">
        <v>4723</v>
      </c>
      <c r="D46" s="46" t="s">
        <v>2760</v>
      </c>
      <c r="E46" s="46" t="s">
        <v>336</v>
      </c>
      <c r="F46" s="46" t="s">
        <v>4724</v>
      </c>
      <c r="G46" s="46" t="s">
        <v>4725</v>
      </c>
      <c r="H46" s="46" t="s">
        <v>1095</v>
      </c>
      <c r="I46" s="46" t="s">
        <v>1264</v>
      </c>
      <c r="J46" s="46" t="s">
        <v>1265</v>
      </c>
      <c r="K46" s="46" t="s">
        <v>1266</v>
      </c>
      <c r="L46" s="46" t="s">
        <v>1267</v>
      </c>
      <c r="M46" s="46" t="s">
        <v>1268</v>
      </c>
      <c r="N46" s="46" t="s">
        <v>1269</v>
      </c>
      <c r="O46" s="46" t="s">
        <v>1270</v>
      </c>
    </row>
    <row r="47" spans="2:15">
      <c r="B47" s="46" t="s">
        <v>332</v>
      </c>
      <c r="C47" s="46" t="s">
        <v>4726</v>
      </c>
      <c r="D47" s="46" t="s">
        <v>2770</v>
      </c>
      <c r="E47" s="46" t="s">
        <v>335</v>
      </c>
      <c r="F47" s="46" t="s">
        <v>4727</v>
      </c>
      <c r="G47" s="46" t="s">
        <v>4728</v>
      </c>
      <c r="H47" s="46" t="s">
        <v>1095</v>
      </c>
      <c r="I47" s="46" t="s">
        <v>1272</v>
      </c>
      <c r="J47" s="46" t="s">
        <v>1273</v>
      </c>
      <c r="K47" s="46" t="s">
        <v>1274</v>
      </c>
      <c r="L47" s="46" t="s">
        <v>1275</v>
      </c>
      <c r="M47" s="46" t="s">
        <v>1276</v>
      </c>
      <c r="N47" s="46" t="s">
        <v>1277</v>
      </c>
      <c r="O47" s="46" t="s">
        <v>1278</v>
      </c>
    </row>
    <row r="48" spans="2:15">
      <c r="B48" s="46" t="s">
        <v>332</v>
      </c>
      <c r="C48" s="46" t="s">
        <v>4729</v>
      </c>
      <c r="D48" s="46" t="s">
        <v>2780</v>
      </c>
      <c r="E48" s="46" t="s">
        <v>334</v>
      </c>
      <c r="F48" s="46" t="s">
        <v>6086</v>
      </c>
      <c r="G48" s="46" t="s">
        <v>6087</v>
      </c>
      <c r="H48" s="46" t="s">
        <v>1095</v>
      </c>
      <c r="I48" s="46" t="s">
        <v>2309</v>
      </c>
      <c r="J48" s="46" t="s">
        <v>2310</v>
      </c>
      <c r="K48" s="46" t="s">
        <v>2311</v>
      </c>
      <c r="L48" s="46" t="s">
        <v>2312</v>
      </c>
      <c r="M48" s="46" t="s">
        <v>2313</v>
      </c>
      <c r="N48" s="46" t="s">
        <v>2314</v>
      </c>
      <c r="O48" s="46" t="s">
        <v>1279</v>
      </c>
    </row>
    <row r="49" spans="2:15">
      <c r="B49" s="46" t="s">
        <v>332</v>
      </c>
      <c r="C49" s="46" t="s">
        <v>4730</v>
      </c>
      <c r="D49" s="46" t="s">
        <v>2790</v>
      </c>
      <c r="E49" s="46" t="s">
        <v>333</v>
      </c>
      <c r="F49" s="46" t="s">
        <v>4731</v>
      </c>
      <c r="G49" s="46" t="s">
        <v>4732</v>
      </c>
      <c r="H49" s="46" t="s">
        <v>1095</v>
      </c>
      <c r="I49" s="46" t="s">
        <v>1281</v>
      </c>
      <c r="J49" s="46" t="s">
        <v>1282</v>
      </c>
      <c r="K49" s="46" t="s">
        <v>1283</v>
      </c>
      <c r="L49" s="46" t="s">
        <v>1284</v>
      </c>
      <c r="M49" s="46" t="s">
        <v>1285</v>
      </c>
      <c r="N49" s="46" t="s">
        <v>1286</v>
      </c>
      <c r="O49" s="46" t="s">
        <v>1287</v>
      </c>
    </row>
    <row r="50" spans="2:15">
      <c r="B50" s="46" t="s">
        <v>332</v>
      </c>
      <c r="C50" s="46" t="s">
        <v>4733</v>
      </c>
      <c r="D50" s="46" t="s">
        <v>2800</v>
      </c>
      <c r="O50" s="46" t="s">
        <v>1295</v>
      </c>
    </row>
    <row r="51" spans="2:15">
      <c r="B51" s="46" t="s">
        <v>326</v>
      </c>
      <c r="C51" s="46" t="s">
        <v>4736</v>
      </c>
      <c r="D51" s="46" t="s">
        <v>2810</v>
      </c>
      <c r="E51" s="46" t="s">
        <v>331</v>
      </c>
      <c r="F51" s="46" t="s">
        <v>6088</v>
      </c>
      <c r="G51" s="46" t="s">
        <v>6089</v>
      </c>
      <c r="H51" s="46" t="s">
        <v>1095</v>
      </c>
      <c r="I51" s="46" t="s">
        <v>2315</v>
      </c>
      <c r="J51" s="46" t="s">
        <v>2316</v>
      </c>
      <c r="K51" s="46" t="s">
        <v>2317</v>
      </c>
      <c r="L51" s="46" t="s">
        <v>2318</v>
      </c>
      <c r="M51" s="46" t="s">
        <v>2319</v>
      </c>
      <c r="N51" s="46" t="s">
        <v>2320</v>
      </c>
      <c r="O51" s="46" t="s">
        <v>1296</v>
      </c>
    </row>
    <row r="52" spans="2:15">
      <c r="B52" s="46" t="s">
        <v>326</v>
      </c>
      <c r="C52" s="46" t="s">
        <v>4737</v>
      </c>
      <c r="D52" s="46" t="s">
        <v>2820</v>
      </c>
      <c r="E52" s="46" t="s">
        <v>330</v>
      </c>
      <c r="F52" s="46" t="s">
        <v>4738</v>
      </c>
      <c r="G52" s="46" t="s">
        <v>4739</v>
      </c>
      <c r="H52" s="46" t="s">
        <v>1095</v>
      </c>
      <c r="I52" s="46" t="s">
        <v>1298</v>
      </c>
      <c r="J52" s="46" t="s">
        <v>1299</v>
      </c>
      <c r="K52" s="46" t="s">
        <v>1300</v>
      </c>
      <c r="L52" s="46" t="s">
        <v>1301</v>
      </c>
      <c r="M52" s="46" t="s">
        <v>1302</v>
      </c>
      <c r="N52" s="46" t="s">
        <v>1303</v>
      </c>
      <c r="O52" s="46" t="s">
        <v>1304</v>
      </c>
    </row>
    <row r="53" spans="2:15">
      <c r="B53" s="46" t="s">
        <v>326</v>
      </c>
      <c r="C53" s="46" t="s">
        <v>4740</v>
      </c>
      <c r="D53" s="46" t="s">
        <v>2830</v>
      </c>
      <c r="E53" s="46" t="s">
        <v>329</v>
      </c>
      <c r="F53" s="46" t="s">
        <v>4741</v>
      </c>
      <c r="G53" s="46" t="s">
        <v>4742</v>
      </c>
      <c r="H53" s="46" t="s">
        <v>1095</v>
      </c>
      <c r="I53" s="46" t="s">
        <v>1306</v>
      </c>
      <c r="J53" s="46" t="s">
        <v>1307</v>
      </c>
      <c r="K53" s="46" t="s">
        <v>1308</v>
      </c>
      <c r="L53" s="46" t="s">
        <v>1309</v>
      </c>
      <c r="M53" s="46" t="s">
        <v>1310</v>
      </c>
      <c r="N53" s="46" t="s">
        <v>1311</v>
      </c>
      <c r="O53" s="46" t="s">
        <v>1312</v>
      </c>
    </row>
    <row r="54" spans="2:15">
      <c r="B54" s="46" t="s">
        <v>326</v>
      </c>
      <c r="C54" s="46" t="s">
        <v>4743</v>
      </c>
      <c r="D54" s="46" t="s">
        <v>2840</v>
      </c>
      <c r="E54" s="46" t="s">
        <v>328</v>
      </c>
      <c r="F54" s="46" t="s">
        <v>6090</v>
      </c>
      <c r="G54" s="46" t="s">
        <v>6091</v>
      </c>
      <c r="H54" s="46" t="s">
        <v>1095</v>
      </c>
      <c r="I54" s="46" t="s">
        <v>2321</v>
      </c>
      <c r="J54" s="46" t="s">
        <v>2322</v>
      </c>
      <c r="K54" s="46" t="s">
        <v>2323</v>
      </c>
      <c r="L54" s="46" t="s">
        <v>2324</v>
      </c>
      <c r="M54" s="46" t="s">
        <v>2325</v>
      </c>
      <c r="N54" s="46" t="s">
        <v>2326</v>
      </c>
      <c r="O54" s="46" t="s">
        <v>1313</v>
      </c>
    </row>
    <row r="55" spans="2:15">
      <c r="B55" s="46" t="s">
        <v>326</v>
      </c>
      <c r="C55" s="46" t="s">
        <v>4744</v>
      </c>
      <c r="D55" s="46" t="s">
        <v>2850</v>
      </c>
      <c r="E55" s="46" t="s">
        <v>327</v>
      </c>
      <c r="F55" s="46" t="s">
        <v>4745</v>
      </c>
      <c r="G55" s="46" t="s">
        <v>4746</v>
      </c>
      <c r="H55" s="46" t="s">
        <v>1095</v>
      </c>
      <c r="I55" s="46" t="s">
        <v>1315</v>
      </c>
      <c r="J55" s="46" t="s">
        <v>1316</v>
      </c>
      <c r="K55" s="46" t="s">
        <v>1317</v>
      </c>
      <c r="L55" s="46" t="s">
        <v>1318</v>
      </c>
      <c r="M55" s="46" t="s">
        <v>1319</v>
      </c>
      <c r="N55" s="46" t="s">
        <v>1320</v>
      </c>
      <c r="O55" s="46" t="s">
        <v>1321</v>
      </c>
    </row>
    <row r="56" spans="2:15">
      <c r="B56" s="46" t="s">
        <v>326</v>
      </c>
      <c r="C56" s="46" t="s">
        <v>4747</v>
      </c>
      <c r="D56" s="46" t="s">
        <v>2860</v>
      </c>
      <c r="O56" s="46" t="s">
        <v>1329</v>
      </c>
    </row>
    <row r="57" spans="2:15">
      <c r="B57" s="46" t="s">
        <v>320</v>
      </c>
      <c r="C57" s="46" t="s">
        <v>4750</v>
      </c>
      <c r="D57" s="46" t="s">
        <v>2870</v>
      </c>
      <c r="E57" s="46" t="s">
        <v>325</v>
      </c>
      <c r="F57" s="46" t="s">
        <v>6092</v>
      </c>
      <c r="G57" s="46" t="s">
        <v>6093</v>
      </c>
      <c r="H57" s="46" t="s">
        <v>1095</v>
      </c>
      <c r="I57" s="46" t="s">
        <v>2327</v>
      </c>
      <c r="J57" s="46" t="s">
        <v>2328</v>
      </c>
      <c r="K57" s="46" t="s">
        <v>2329</v>
      </c>
      <c r="L57" s="46" t="s">
        <v>2330</v>
      </c>
      <c r="M57" s="46" t="s">
        <v>2331</v>
      </c>
      <c r="N57" s="46" t="s">
        <v>2332</v>
      </c>
      <c r="O57" s="46" t="s">
        <v>1330</v>
      </c>
    </row>
    <row r="58" spans="2:15">
      <c r="B58" s="46" t="s">
        <v>320</v>
      </c>
      <c r="C58" s="46" t="s">
        <v>4751</v>
      </c>
      <c r="D58" s="46" t="s">
        <v>2880</v>
      </c>
      <c r="E58" s="46" t="s">
        <v>324</v>
      </c>
      <c r="F58" s="46" t="s">
        <v>4752</v>
      </c>
      <c r="G58" s="46" t="s">
        <v>4753</v>
      </c>
      <c r="H58" s="46" t="s">
        <v>1095</v>
      </c>
      <c r="I58" s="46" t="s">
        <v>1332</v>
      </c>
      <c r="J58" s="46" t="s">
        <v>1333</v>
      </c>
      <c r="K58" s="46" t="s">
        <v>1334</v>
      </c>
      <c r="L58" s="46" t="s">
        <v>1335</v>
      </c>
      <c r="M58" s="46" t="s">
        <v>1336</v>
      </c>
      <c r="N58" s="46" t="s">
        <v>1337</v>
      </c>
      <c r="O58" s="46" t="s">
        <v>1338</v>
      </c>
    </row>
    <row r="59" spans="2:15">
      <c r="B59" s="46" t="s">
        <v>320</v>
      </c>
      <c r="C59" s="46" t="s">
        <v>4754</v>
      </c>
      <c r="D59" s="46" t="s">
        <v>2890</v>
      </c>
      <c r="E59" s="46" t="s">
        <v>323</v>
      </c>
      <c r="F59" s="46" t="s">
        <v>4755</v>
      </c>
      <c r="G59" s="46" t="s">
        <v>4756</v>
      </c>
      <c r="H59" s="46" t="s">
        <v>1095</v>
      </c>
      <c r="I59" s="46" t="s">
        <v>1340</v>
      </c>
      <c r="J59" s="46" t="s">
        <v>1341</v>
      </c>
      <c r="K59" s="46" t="s">
        <v>1342</v>
      </c>
      <c r="L59" s="46" t="s">
        <v>1343</v>
      </c>
      <c r="M59" s="46" t="s">
        <v>1344</v>
      </c>
      <c r="N59" s="46" t="s">
        <v>1345</v>
      </c>
      <c r="O59" s="46" t="s">
        <v>1346</v>
      </c>
    </row>
    <row r="60" spans="2:15">
      <c r="B60" s="46" t="s">
        <v>320</v>
      </c>
      <c r="C60" s="46" t="s">
        <v>4757</v>
      </c>
      <c r="D60" s="46" t="s">
        <v>2900</v>
      </c>
      <c r="E60" s="46" t="s">
        <v>322</v>
      </c>
      <c r="F60" s="46" t="s">
        <v>6094</v>
      </c>
      <c r="G60" s="46" t="s">
        <v>6095</v>
      </c>
      <c r="H60" s="46" t="s">
        <v>1095</v>
      </c>
      <c r="I60" s="46" t="s">
        <v>2333</v>
      </c>
      <c r="J60" s="46" t="s">
        <v>2334</v>
      </c>
      <c r="K60" s="46" t="s">
        <v>2335</v>
      </c>
      <c r="L60" s="46" t="s">
        <v>2336</v>
      </c>
      <c r="M60" s="46" t="s">
        <v>2337</v>
      </c>
      <c r="N60" s="46" t="s">
        <v>2338</v>
      </c>
      <c r="O60" s="46" t="s">
        <v>1347</v>
      </c>
    </row>
    <row r="61" spans="2:15">
      <c r="B61" s="46" t="s">
        <v>320</v>
      </c>
      <c r="C61" s="46" t="s">
        <v>4758</v>
      </c>
      <c r="D61" s="46" t="s">
        <v>2909</v>
      </c>
      <c r="E61" s="46" t="s">
        <v>321</v>
      </c>
      <c r="F61" s="46" t="s">
        <v>4759</v>
      </c>
      <c r="G61" s="46" t="s">
        <v>4760</v>
      </c>
      <c r="H61" s="46" t="s">
        <v>1095</v>
      </c>
      <c r="I61" s="46" t="s">
        <v>1349</v>
      </c>
      <c r="J61" s="46" t="s">
        <v>1350</v>
      </c>
      <c r="K61" s="46" t="s">
        <v>1351</v>
      </c>
      <c r="L61" s="46" t="s">
        <v>1352</v>
      </c>
      <c r="M61" s="46" t="s">
        <v>1353</v>
      </c>
      <c r="N61" s="46" t="s">
        <v>1354</v>
      </c>
      <c r="O61" s="46" t="s">
        <v>1355</v>
      </c>
    </row>
    <row r="62" spans="2:15">
      <c r="B62" s="46" t="s">
        <v>320</v>
      </c>
      <c r="C62" s="46" t="s">
        <v>4761</v>
      </c>
      <c r="D62" s="46" t="s">
        <v>2919</v>
      </c>
      <c r="O62" s="46" t="s">
        <v>1363</v>
      </c>
    </row>
    <row r="63" spans="2:15">
      <c r="B63" s="46" t="s">
        <v>314</v>
      </c>
      <c r="C63" s="46" t="s">
        <v>4764</v>
      </c>
      <c r="D63" s="46" t="s">
        <v>2928</v>
      </c>
      <c r="E63" s="46" t="s">
        <v>319</v>
      </c>
      <c r="F63" s="46" t="s">
        <v>6096</v>
      </c>
      <c r="G63" s="46" t="s">
        <v>6097</v>
      </c>
      <c r="H63" s="46" t="s">
        <v>1095</v>
      </c>
      <c r="I63" s="46" t="s">
        <v>2339</v>
      </c>
      <c r="J63" s="46" t="s">
        <v>2340</v>
      </c>
      <c r="K63" s="46" t="s">
        <v>2341</v>
      </c>
      <c r="L63" s="46" t="s">
        <v>2342</v>
      </c>
      <c r="M63" s="46" t="s">
        <v>2343</v>
      </c>
      <c r="N63" s="46" t="s">
        <v>2344</v>
      </c>
      <c r="O63" s="46" t="s">
        <v>1364</v>
      </c>
    </row>
    <row r="64" spans="2:15">
      <c r="B64" s="46" t="s">
        <v>314</v>
      </c>
      <c r="C64" s="46" t="s">
        <v>4765</v>
      </c>
      <c r="D64" s="46" t="s">
        <v>2938</v>
      </c>
      <c r="E64" s="46" t="s">
        <v>318</v>
      </c>
      <c r="F64" s="46" t="s">
        <v>4766</v>
      </c>
      <c r="G64" s="46" t="s">
        <v>4767</v>
      </c>
      <c r="H64" s="46" t="s">
        <v>1095</v>
      </c>
      <c r="I64" s="46" t="s">
        <v>1366</v>
      </c>
      <c r="J64" s="46" t="s">
        <v>1367</v>
      </c>
      <c r="K64" s="46" t="s">
        <v>1368</v>
      </c>
      <c r="L64" s="46" t="s">
        <v>1369</v>
      </c>
      <c r="M64" s="46" t="s">
        <v>1370</v>
      </c>
      <c r="N64" s="46" t="s">
        <v>1371</v>
      </c>
      <c r="O64" s="46" t="s">
        <v>1372</v>
      </c>
    </row>
    <row r="65" spans="2:15">
      <c r="B65" s="46" t="s">
        <v>314</v>
      </c>
      <c r="C65" s="46" t="s">
        <v>4768</v>
      </c>
      <c r="D65" s="46" t="s">
        <v>2948</v>
      </c>
      <c r="E65" s="46" t="s">
        <v>317</v>
      </c>
      <c r="F65" s="46" t="s">
        <v>4769</v>
      </c>
      <c r="G65" s="46" t="s">
        <v>4770</v>
      </c>
      <c r="H65" s="46" t="s">
        <v>1095</v>
      </c>
      <c r="I65" s="46" t="s">
        <v>1374</v>
      </c>
      <c r="J65" s="46" t="s">
        <v>1375</v>
      </c>
      <c r="K65" s="46" t="s">
        <v>1376</v>
      </c>
      <c r="L65" s="46" t="s">
        <v>1377</v>
      </c>
      <c r="M65" s="46" t="s">
        <v>1378</v>
      </c>
      <c r="N65" s="46" t="s">
        <v>1379</v>
      </c>
      <c r="O65" s="46" t="s">
        <v>1380</v>
      </c>
    </row>
    <row r="66" spans="2:15">
      <c r="B66" s="46" t="s">
        <v>314</v>
      </c>
      <c r="C66" s="46" t="s">
        <v>4771</v>
      </c>
      <c r="D66" s="46" t="s">
        <v>2958</v>
      </c>
      <c r="E66" s="46" t="s">
        <v>316</v>
      </c>
      <c r="F66" s="46" t="s">
        <v>6098</v>
      </c>
      <c r="G66" s="46" t="s">
        <v>6099</v>
      </c>
      <c r="H66" s="46" t="s">
        <v>1095</v>
      </c>
      <c r="I66" s="46" t="s">
        <v>2345</v>
      </c>
      <c r="J66" s="46" t="s">
        <v>2346</v>
      </c>
      <c r="K66" s="46" t="s">
        <v>2347</v>
      </c>
      <c r="L66" s="46" t="s">
        <v>2348</v>
      </c>
      <c r="M66" s="46" t="s">
        <v>2349</v>
      </c>
      <c r="N66" s="46" t="s">
        <v>2350</v>
      </c>
      <c r="O66" s="46" t="s">
        <v>1381</v>
      </c>
    </row>
    <row r="67" spans="2:15">
      <c r="B67" s="46" t="s">
        <v>314</v>
      </c>
      <c r="C67" s="46" t="s">
        <v>4772</v>
      </c>
      <c r="D67" s="46" t="s">
        <v>2968</v>
      </c>
      <c r="E67" s="46" t="s">
        <v>315</v>
      </c>
      <c r="F67" s="46" t="s">
        <v>4773</v>
      </c>
      <c r="G67" s="46" t="s">
        <v>4774</v>
      </c>
      <c r="H67" s="46" t="s">
        <v>1095</v>
      </c>
      <c r="I67" s="46" t="s">
        <v>1383</v>
      </c>
      <c r="J67" s="46" t="s">
        <v>1384</v>
      </c>
      <c r="K67" s="46" t="s">
        <v>1385</v>
      </c>
      <c r="L67" s="46" t="s">
        <v>1386</v>
      </c>
      <c r="M67" s="46" t="s">
        <v>1387</v>
      </c>
      <c r="N67" s="46" t="s">
        <v>1388</v>
      </c>
      <c r="O67" s="46" t="s">
        <v>1389</v>
      </c>
    </row>
    <row r="68" spans="2:15">
      <c r="B68" s="46" t="s">
        <v>314</v>
      </c>
      <c r="C68" s="46" t="s">
        <v>4775</v>
      </c>
      <c r="D68" s="46" t="s">
        <v>2978</v>
      </c>
      <c r="O68" s="46" t="s">
        <v>1397</v>
      </c>
    </row>
    <row r="69" spans="2:15">
      <c r="B69" s="46" t="s">
        <v>308</v>
      </c>
      <c r="C69" s="46" t="s">
        <v>4778</v>
      </c>
      <c r="D69" s="46" t="s">
        <v>2988</v>
      </c>
      <c r="E69" s="46" t="s">
        <v>313</v>
      </c>
      <c r="F69" s="46" t="s">
        <v>6100</v>
      </c>
      <c r="G69" s="46" t="s">
        <v>6101</v>
      </c>
      <c r="H69" s="46" t="s">
        <v>1095</v>
      </c>
      <c r="I69" s="46" t="s">
        <v>2351</v>
      </c>
      <c r="J69" s="46" t="s">
        <v>2352</v>
      </c>
      <c r="K69" s="46" t="s">
        <v>2353</v>
      </c>
      <c r="L69" s="46" t="s">
        <v>2354</v>
      </c>
      <c r="M69" s="46" t="s">
        <v>2355</v>
      </c>
      <c r="N69" s="46" t="s">
        <v>2356</v>
      </c>
      <c r="O69" s="46" t="s">
        <v>1398</v>
      </c>
    </row>
    <row r="70" spans="2:15">
      <c r="B70" s="46" t="s">
        <v>308</v>
      </c>
      <c r="C70" s="46" t="s">
        <v>4779</v>
      </c>
      <c r="D70" s="46" t="s">
        <v>2998</v>
      </c>
      <c r="E70" s="46" t="s">
        <v>312</v>
      </c>
      <c r="F70" s="46" t="s">
        <v>4780</v>
      </c>
      <c r="G70" s="46" t="s">
        <v>4781</v>
      </c>
      <c r="H70" s="46" t="s">
        <v>1095</v>
      </c>
      <c r="I70" s="46" t="s">
        <v>1400</v>
      </c>
      <c r="J70" s="46" t="s">
        <v>1401</v>
      </c>
      <c r="K70" s="46" t="s">
        <v>1402</v>
      </c>
      <c r="L70" s="46" t="s">
        <v>1403</v>
      </c>
      <c r="M70" s="46" t="s">
        <v>1404</v>
      </c>
      <c r="N70" s="46" t="s">
        <v>1405</v>
      </c>
      <c r="O70" s="46" t="s">
        <v>1406</v>
      </c>
    </row>
    <row r="71" spans="2:15">
      <c r="B71" s="46" t="s">
        <v>308</v>
      </c>
      <c r="C71" s="46" t="s">
        <v>4782</v>
      </c>
      <c r="D71" s="46" t="s">
        <v>3008</v>
      </c>
      <c r="E71" s="46" t="s">
        <v>311</v>
      </c>
      <c r="F71" s="46" t="s">
        <v>4783</v>
      </c>
      <c r="G71" s="46" t="s">
        <v>4784</v>
      </c>
      <c r="H71" s="46" t="s">
        <v>1095</v>
      </c>
      <c r="I71" s="46" t="s">
        <v>1408</v>
      </c>
      <c r="J71" s="46" t="s">
        <v>1409</v>
      </c>
      <c r="K71" s="46" t="s">
        <v>1410</v>
      </c>
      <c r="L71" s="46" t="s">
        <v>1411</v>
      </c>
      <c r="M71" s="46" t="s">
        <v>1412</v>
      </c>
      <c r="N71" s="46" t="s">
        <v>1413</v>
      </c>
      <c r="O71" s="46" t="s">
        <v>1414</v>
      </c>
    </row>
    <row r="72" spans="2:15">
      <c r="B72" s="46" t="s">
        <v>308</v>
      </c>
      <c r="C72" s="46" t="s">
        <v>4785</v>
      </c>
      <c r="D72" s="46" t="s">
        <v>3018</v>
      </c>
      <c r="E72" s="46" t="s">
        <v>310</v>
      </c>
      <c r="F72" s="46" t="s">
        <v>6102</v>
      </c>
      <c r="G72" s="46" t="s">
        <v>6103</v>
      </c>
      <c r="H72" s="46" t="s">
        <v>1095</v>
      </c>
      <c r="I72" s="46" t="s">
        <v>2357</v>
      </c>
      <c r="J72" s="46" t="s">
        <v>2358</v>
      </c>
      <c r="K72" s="46" t="s">
        <v>2359</v>
      </c>
      <c r="L72" s="46" t="s">
        <v>2360</v>
      </c>
      <c r="M72" s="46" t="s">
        <v>2361</v>
      </c>
      <c r="N72" s="46" t="s">
        <v>2362</v>
      </c>
      <c r="O72" s="46" t="s">
        <v>1415</v>
      </c>
    </row>
    <row r="73" spans="2:15">
      <c r="B73" s="46" t="s">
        <v>308</v>
      </c>
      <c r="C73" s="46" t="s">
        <v>4786</v>
      </c>
      <c r="D73" s="46" t="s">
        <v>3028</v>
      </c>
      <c r="E73" s="46" t="s">
        <v>309</v>
      </c>
      <c r="F73" s="46" t="s">
        <v>6104</v>
      </c>
      <c r="G73" s="46" t="s">
        <v>6105</v>
      </c>
      <c r="H73" s="46" t="s">
        <v>1095</v>
      </c>
      <c r="I73" s="46" t="s">
        <v>1416</v>
      </c>
      <c r="J73" s="46" t="s">
        <v>1417</v>
      </c>
      <c r="K73" s="46" t="s">
        <v>1418</v>
      </c>
      <c r="L73" s="46" t="s">
        <v>1419</v>
      </c>
      <c r="M73" s="46" t="s">
        <v>1420</v>
      </c>
      <c r="N73" s="46" t="s">
        <v>1421</v>
      </c>
      <c r="O73" s="46" t="s">
        <v>1422</v>
      </c>
    </row>
    <row r="74" spans="2:15">
      <c r="B74" s="46" t="s">
        <v>308</v>
      </c>
      <c r="C74" s="46" t="s">
        <v>4787</v>
      </c>
      <c r="D74" s="46" t="s">
        <v>3038</v>
      </c>
      <c r="O74" s="46" t="s">
        <v>1429</v>
      </c>
    </row>
    <row r="75" spans="2:15">
      <c r="B75" s="46" t="s">
        <v>303</v>
      </c>
      <c r="C75" s="46" t="s">
        <v>4788</v>
      </c>
      <c r="D75" s="46" t="s">
        <v>3048</v>
      </c>
      <c r="E75" s="46" t="s">
        <v>307</v>
      </c>
      <c r="F75" s="46" t="s">
        <v>6106</v>
      </c>
      <c r="G75" s="46" t="s">
        <v>6107</v>
      </c>
      <c r="H75" s="46" t="s">
        <v>1095</v>
      </c>
      <c r="I75" s="46" t="s">
        <v>1430</v>
      </c>
      <c r="J75" s="46" t="s">
        <v>1431</v>
      </c>
      <c r="K75" s="46" t="s">
        <v>1432</v>
      </c>
      <c r="L75" s="46" t="s">
        <v>1433</v>
      </c>
      <c r="M75" s="46" t="s">
        <v>1434</v>
      </c>
      <c r="N75" s="46" t="s">
        <v>1435</v>
      </c>
      <c r="O75" s="46" t="s">
        <v>1436</v>
      </c>
    </row>
    <row r="76" spans="2:15">
      <c r="B76" s="46" t="s">
        <v>303</v>
      </c>
      <c r="C76" s="46" t="s">
        <v>4789</v>
      </c>
      <c r="D76" s="46" t="s">
        <v>3058</v>
      </c>
      <c r="E76" s="46" t="s">
        <v>306</v>
      </c>
      <c r="F76" s="46" t="s">
        <v>6108</v>
      </c>
      <c r="G76" s="46" t="s">
        <v>6109</v>
      </c>
      <c r="H76" s="46" t="s">
        <v>1095</v>
      </c>
      <c r="I76" s="46" t="s">
        <v>1437</v>
      </c>
      <c r="J76" s="46" t="s">
        <v>1438</v>
      </c>
      <c r="K76" s="46" t="s">
        <v>1439</v>
      </c>
      <c r="L76" s="46" t="s">
        <v>1440</v>
      </c>
      <c r="M76" s="46" t="s">
        <v>1441</v>
      </c>
      <c r="N76" s="46" t="s">
        <v>1442</v>
      </c>
      <c r="O76" s="46" t="s">
        <v>1443</v>
      </c>
    </row>
    <row r="77" spans="2:15">
      <c r="B77" s="46" t="s">
        <v>303</v>
      </c>
      <c r="C77" s="46" t="s">
        <v>4790</v>
      </c>
      <c r="D77" s="46" t="s">
        <v>3068</v>
      </c>
      <c r="E77" s="46" t="s">
        <v>305</v>
      </c>
      <c r="F77" s="46" t="s">
        <v>6110</v>
      </c>
      <c r="G77" s="46" t="s">
        <v>6111</v>
      </c>
      <c r="H77" s="46" t="s">
        <v>1095</v>
      </c>
      <c r="I77" s="46" t="s">
        <v>1444</v>
      </c>
      <c r="J77" s="46" t="s">
        <v>1445</v>
      </c>
      <c r="K77" s="46" t="s">
        <v>1446</v>
      </c>
      <c r="L77" s="46" t="s">
        <v>1447</v>
      </c>
      <c r="M77" s="46" t="s">
        <v>1448</v>
      </c>
      <c r="N77" s="46" t="s">
        <v>1449</v>
      </c>
      <c r="O77" s="46" t="s">
        <v>1450</v>
      </c>
    </row>
    <row r="78" spans="2:15">
      <c r="B78" s="46" t="s">
        <v>303</v>
      </c>
      <c r="C78" s="46" t="s">
        <v>4791</v>
      </c>
      <c r="D78" s="46" t="s">
        <v>3078</v>
      </c>
      <c r="E78" s="46" t="s">
        <v>304</v>
      </c>
      <c r="F78" s="46" t="s">
        <v>6112</v>
      </c>
      <c r="G78" s="46" t="s">
        <v>6113</v>
      </c>
      <c r="H78" s="46" t="s">
        <v>1095</v>
      </c>
      <c r="I78" s="46" t="s">
        <v>1451</v>
      </c>
      <c r="J78" s="46" t="s">
        <v>1452</v>
      </c>
      <c r="K78" s="46" t="s">
        <v>1453</v>
      </c>
      <c r="L78" s="46" t="s">
        <v>1454</v>
      </c>
      <c r="M78" s="46" t="s">
        <v>1455</v>
      </c>
      <c r="N78" s="46" t="s">
        <v>1456</v>
      </c>
      <c r="O78" s="46" t="s">
        <v>1457</v>
      </c>
    </row>
    <row r="79" spans="2:15">
      <c r="B79" s="46" t="s">
        <v>303</v>
      </c>
      <c r="C79" s="46" t="s">
        <v>4792</v>
      </c>
      <c r="D79" s="46" t="s">
        <v>3088</v>
      </c>
      <c r="O79" s="46" t="s">
        <v>1464</v>
      </c>
    </row>
    <row r="80" spans="2:15">
      <c r="B80" s="46" t="s">
        <v>298</v>
      </c>
      <c r="C80" s="46" t="s">
        <v>4793</v>
      </c>
      <c r="D80" s="46" t="s">
        <v>3098</v>
      </c>
      <c r="E80" s="46" t="s">
        <v>302</v>
      </c>
      <c r="F80" s="46" t="s">
        <v>6114</v>
      </c>
      <c r="G80" s="46" t="s">
        <v>6115</v>
      </c>
      <c r="H80" s="46" t="s">
        <v>1095</v>
      </c>
      <c r="I80" s="46" t="s">
        <v>1465</v>
      </c>
      <c r="J80" s="46" t="s">
        <v>1466</v>
      </c>
      <c r="K80" s="46" t="s">
        <v>1467</v>
      </c>
      <c r="L80" s="46" t="s">
        <v>1468</v>
      </c>
      <c r="M80" s="46" t="s">
        <v>1469</v>
      </c>
      <c r="N80" s="46" t="s">
        <v>1470</v>
      </c>
      <c r="O80" s="46" t="s">
        <v>1471</v>
      </c>
    </row>
    <row r="81" spans="2:15">
      <c r="B81" s="46" t="s">
        <v>298</v>
      </c>
      <c r="C81" s="46" t="s">
        <v>4794</v>
      </c>
      <c r="D81" s="46" t="s">
        <v>3108</v>
      </c>
      <c r="E81" s="46" t="s">
        <v>301</v>
      </c>
      <c r="F81" s="46" t="s">
        <v>6116</v>
      </c>
      <c r="G81" s="46" t="s">
        <v>6117</v>
      </c>
      <c r="H81" s="46" t="s">
        <v>1095</v>
      </c>
      <c r="I81" s="46" t="s">
        <v>1472</v>
      </c>
      <c r="J81" s="46" t="s">
        <v>1473</v>
      </c>
      <c r="K81" s="46" t="s">
        <v>1474</v>
      </c>
      <c r="L81" s="46" t="s">
        <v>1475</v>
      </c>
      <c r="M81" s="46" t="s">
        <v>1476</v>
      </c>
      <c r="N81" s="46" t="s">
        <v>1477</v>
      </c>
      <c r="O81" s="46" t="s">
        <v>1478</v>
      </c>
    </row>
    <row r="82" spans="2:15">
      <c r="B82" s="46" t="s">
        <v>298</v>
      </c>
      <c r="C82" s="46" t="s">
        <v>4795</v>
      </c>
      <c r="D82" s="46" t="s">
        <v>3118</v>
      </c>
      <c r="E82" s="46" t="s">
        <v>300</v>
      </c>
      <c r="F82" s="46" t="s">
        <v>6118</v>
      </c>
      <c r="G82" s="46" t="s">
        <v>6119</v>
      </c>
      <c r="H82" s="46" t="s">
        <v>1095</v>
      </c>
      <c r="I82" s="46" t="s">
        <v>1479</v>
      </c>
      <c r="J82" s="46" t="s">
        <v>1480</v>
      </c>
      <c r="K82" s="46" t="s">
        <v>1481</v>
      </c>
      <c r="L82" s="46" t="s">
        <v>1482</v>
      </c>
      <c r="M82" s="46" t="s">
        <v>1483</v>
      </c>
      <c r="N82" s="46" t="s">
        <v>1484</v>
      </c>
      <c r="O82" s="46" t="s">
        <v>1485</v>
      </c>
    </row>
    <row r="83" spans="2:15">
      <c r="B83" s="46" t="s">
        <v>298</v>
      </c>
      <c r="C83" s="46" t="s">
        <v>4796</v>
      </c>
      <c r="D83" s="46" t="s">
        <v>3128</v>
      </c>
      <c r="E83" s="46" t="s">
        <v>299</v>
      </c>
      <c r="F83" s="46" t="s">
        <v>6120</v>
      </c>
      <c r="G83" s="46" t="s">
        <v>6121</v>
      </c>
      <c r="H83" s="46" t="s">
        <v>1095</v>
      </c>
      <c r="I83" s="46" t="s">
        <v>1486</v>
      </c>
      <c r="J83" s="46" t="s">
        <v>1487</v>
      </c>
      <c r="K83" s="46" t="s">
        <v>1488</v>
      </c>
      <c r="L83" s="46" t="s">
        <v>1489</v>
      </c>
      <c r="M83" s="46" t="s">
        <v>1490</v>
      </c>
      <c r="N83" s="46" t="s">
        <v>1491</v>
      </c>
      <c r="O83" s="46" t="s">
        <v>1492</v>
      </c>
    </row>
    <row r="84" spans="2:15">
      <c r="B84" s="46" t="s">
        <v>298</v>
      </c>
      <c r="C84" s="46" t="s">
        <v>4797</v>
      </c>
      <c r="D84" s="46" t="s">
        <v>3138</v>
      </c>
      <c r="O84" s="46" t="s">
        <v>1499</v>
      </c>
    </row>
    <row r="85" spans="2:15">
      <c r="B85" s="46" t="s">
        <v>297</v>
      </c>
      <c r="C85" s="46" t="s">
        <v>4798</v>
      </c>
      <c r="D85" s="46" t="s">
        <v>3148</v>
      </c>
      <c r="I85" s="46" t="s">
        <v>1500</v>
      </c>
      <c r="J85" s="46" t="s">
        <v>1501</v>
      </c>
      <c r="K85" s="46" t="s">
        <v>1502</v>
      </c>
      <c r="L85" s="46" t="s">
        <v>1503</v>
      </c>
      <c r="M85" s="46" t="s">
        <v>1504</v>
      </c>
      <c r="N85" s="46" t="s">
        <v>1505</v>
      </c>
      <c r="O85" s="46" t="s">
        <v>1506</v>
      </c>
    </row>
    <row r="86" spans="2:15">
      <c r="B86" s="46" t="s">
        <v>296</v>
      </c>
      <c r="C86" s="46" t="s">
        <v>4799</v>
      </c>
      <c r="D86" s="46" t="s">
        <v>3158</v>
      </c>
      <c r="I86" s="46" t="s">
        <v>1507</v>
      </c>
      <c r="J86" s="46" t="s">
        <v>1508</v>
      </c>
      <c r="K86" s="46" t="s">
        <v>1509</v>
      </c>
      <c r="L86" s="46" t="s">
        <v>1510</v>
      </c>
      <c r="M86" s="46" t="s">
        <v>1511</v>
      </c>
      <c r="N86" s="46" t="s">
        <v>1512</v>
      </c>
      <c r="O86" s="46" t="s">
        <v>1513</v>
      </c>
    </row>
    <row r="87" spans="2:15">
      <c r="B87" s="46" t="s">
        <v>295</v>
      </c>
      <c r="C87" s="46" t="s">
        <v>4800</v>
      </c>
      <c r="D87" s="46" t="s">
        <v>3168</v>
      </c>
      <c r="I87" s="46" t="s">
        <v>1514</v>
      </c>
      <c r="J87" s="46" t="s">
        <v>1515</v>
      </c>
      <c r="K87" s="46" t="s">
        <v>1516</v>
      </c>
      <c r="L87" s="46" t="s">
        <v>1517</v>
      </c>
      <c r="M87" s="46" t="s">
        <v>1518</v>
      </c>
      <c r="N87" s="46" t="s">
        <v>1519</v>
      </c>
      <c r="O87" s="46" t="s">
        <v>1520</v>
      </c>
    </row>
    <row r="88" spans="2:15">
      <c r="B88" s="46" t="s">
        <v>291</v>
      </c>
      <c r="C88" s="46" t="s">
        <v>4801</v>
      </c>
      <c r="D88" s="46" t="s">
        <v>3178</v>
      </c>
      <c r="E88" s="46" t="s">
        <v>294</v>
      </c>
      <c r="F88" s="46" t="s">
        <v>6122</v>
      </c>
      <c r="G88" s="46" t="s">
        <v>6123</v>
      </c>
      <c r="H88" s="46" t="s">
        <v>1095</v>
      </c>
      <c r="I88" s="46" t="s">
        <v>1521</v>
      </c>
      <c r="J88" s="46" t="s">
        <v>1522</v>
      </c>
      <c r="K88" s="46" t="s">
        <v>1523</v>
      </c>
      <c r="L88" s="46" t="s">
        <v>1524</v>
      </c>
      <c r="M88" s="46" t="s">
        <v>1525</v>
      </c>
      <c r="N88" s="46" t="s">
        <v>1526</v>
      </c>
      <c r="O88" s="46" t="s">
        <v>1527</v>
      </c>
    </row>
    <row r="89" spans="2:15">
      <c r="B89" s="46" t="s">
        <v>291</v>
      </c>
      <c r="C89" s="46" t="s">
        <v>4802</v>
      </c>
      <c r="D89" s="46" t="s">
        <v>3188</v>
      </c>
      <c r="E89" s="46" t="s">
        <v>293</v>
      </c>
      <c r="F89" s="46" t="s">
        <v>6124</v>
      </c>
      <c r="G89" s="46" t="s">
        <v>6125</v>
      </c>
      <c r="H89" s="46" t="s">
        <v>1095</v>
      </c>
      <c r="I89" s="46" t="s">
        <v>1528</v>
      </c>
      <c r="J89" s="46" t="s">
        <v>1529</v>
      </c>
      <c r="K89" s="46" t="s">
        <v>1530</v>
      </c>
      <c r="L89" s="46" t="s">
        <v>1531</v>
      </c>
      <c r="M89" s="46" t="s">
        <v>1532</v>
      </c>
      <c r="N89" s="46" t="s">
        <v>1533</v>
      </c>
      <c r="O89" s="46" t="s">
        <v>1534</v>
      </c>
    </row>
    <row r="90" spans="2:15">
      <c r="B90" s="46" t="s">
        <v>291</v>
      </c>
      <c r="C90" s="46" t="s">
        <v>4803</v>
      </c>
      <c r="D90" s="46" t="s">
        <v>3198</v>
      </c>
      <c r="E90" s="46" t="s">
        <v>292</v>
      </c>
      <c r="F90" s="46" t="s">
        <v>6126</v>
      </c>
      <c r="G90" s="46" t="s">
        <v>6127</v>
      </c>
      <c r="H90" s="46" t="s">
        <v>1095</v>
      </c>
      <c r="I90" s="46" t="s">
        <v>1535</v>
      </c>
      <c r="J90" s="46" t="s">
        <v>1536</v>
      </c>
      <c r="K90" s="46" t="s">
        <v>1537</v>
      </c>
      <c r="L90" s="46" t="s">
        <v>1538</v>
      </c>
      <c r="M90" s="46" t="s">
        <v>1539</v>
      </c>
      <c r="N90" s="46" t="s">
        <v>1540</v>
      </c>
      <c r="O90" s="46" t="s">
        <v>1541</v>
      </c>
    </row>
    <row r="91" spans="2:15">
      <c r="B91" s="46" t="s">
        <v>291</v>
      </c>
      <c r="C91" s="46" t="s">
        <v>4804</v>
      </c>
      <c r="D91" s="46" t="s">
        <v>3208</v>
      </c>
      <c r="O91" s="46" t="s">
        <v>1548</v>
      </c>
    </row>
    <row r="92" spans="2:15">
      <c r="B92" s="46" t="s">
        <v>287</v>
      </c>
      <c r="C92" s="46" t="s">
        <v>4805</v>
      </c>
      <c r="D92" s="46" t="s">
        <v>3218</v>
      </c>
      <c r="E92" s="46" t="s">
        <v>290</v>
      </c>
      <c r="F92" s="46" t="s">
        <v>6128</v>
      </c>
      <c r="G92" s="46" t="s">
        <v>6129</v>
      </c>
      <c r="H92" s="46" t="s">
        <v>1095</v>
      </c>
      <c r="I92" s="46" t="s">
        <v>1549</v>
      </c>
      <c r="J92" s="46" t="s">
        <v>1550</v>
      </c>
      <c r="K92" s="46" t="s">
        <v>1551</v>
      </c>
      <c r="L92" s="46" t="s">
        <v>1552</v>
      </c>
      <c r="M92" s="46" t="s">
        <v>1553</v>
      </c>
      <c r="N92" s="46" t="s">
        <v>1554</v>
      </c>
      <c r="O92" s="46" t="s">
        <v>1555</v>
      </c>
    </row>
    <row r="93" spans="2:15">
      <c r="B93" s="46" t="s">
        <v>287</v>
      </c>
      <c r="C93" s="46" t="s">
        <v>4806</v>
      </c>
      <c r="D93" s="46" t="s">
        <v>3228</v>
      </c>
      <c r="E93" s="46" t="s">
        <v>289</v>
      </c>
      <c r="F93" s="46" t="s">
        <v>6130</v>
      </c>
      <c r="G93" s="46" t="s">
        <v>6131</v>
      </c>
      <c r="H93" s="46" t="s">
        <v>1095</v>
      </c>
      <c r="I93" s="46" t="s">
        <v>1556</v>
      </c>
      <c r="J93" s="46" t="s">
        <v>1557</v>
      </c>
      <c r="K93" s="46" t="s">
        <v>1558</v>
      </c>
      <c r="L93" s="46" t="s">
        <v>1559</v>
      </c>
      <c r="M93" s="46" t="s">
        <v>1560</v>
      </c>
      <c r="N93" s="46" t="s">
        <v>1561</v>
      </c>
      <c r="O93" s="46" t="s">
        <v>1562</v>
      </c>
    </row>
    <row r="94" spans="2:15">
      <c r="B94" s="46" t="s">
        <v>287</v>
      </c>
      <c r="C94" s="46" t="s">
        <v>4807</v>
      </c>
      <c r="D94" s="46" t="s">
        <v>3238</v>
      </c>
      <c r="E94" s="46" t="s">
        <v>288</v>
      </c>
      <c r="F94" s="46" t="s">
        <v>6132</v>
      </c>
      <c r="G94" s="46" t="s">
        <v>6133</v>
      </c>
      <c r="H94" s="46" t="s">
        <v>1095</v>
      </c>
      <c r="I94" s="46" t="s">
        <v>1563</v>
      </c>
      <c r="J94" s="46" t="s">
        <v>1564</v>
      </c>
      <c r="K94" s="46" t="s">
        <v>1565</v>
      </c>
      <c r="L94" s="46" t="s">
        <v>1566</v>
      </c>
      <c r="M94" s="46" t="s">
        <v>1567</v>
      </c>
      <c r="N94" s="46" t="s">
        <v>1568</v>
      </c>
      <c r="O94" s="46" t="s">
        <v>1569</v>
      </c>
    </row>
    <row r="95" spans="2:15">
      <c r="B95" s="46" t="s">
        <v>287</v>
      </c>
      <c r="C95" s="46" t="s">
        <v>4808</v>
      </c>
      <c r="D95" s="46" t="s">
        <v>3248</v>
      </c>
      <c r="O95" s="46" t="s">
        <v>1576</v>
      </c>
    </row>
    <row r="96" spans="2:15">
      <c r="B96" s="46" t="s">
        <v>283</v>
      </c>
      <c r="C96" s="46" t="s">
        <v>4809</v>
      </c>
      <c r="D96" s="46" t="s">
        <v>3258</v>
      </c>
      <c r="E96" s="46" t="s">
        <v>286</v>
      </c>
      <c r="F96" s="46" t="s">
        <v>6134</v>
      </c>
      <c r="G96" s="46" t="s">
        <v>6135</v>
      </c>
      <c r="H96" s="46" t="s">
        <v>1095</v>
      </c>
      <c r="I96" s="46" t="s">
        <v>1577</v>
      </c>
      <c r="J96" s="46" t="s">
        <v>1578</v>
      </c>
      <c r="K96" s="46" t="s">
        <v>1579</v>
      </c>
      <c r="L96" s="46" t="s">
        <v>1580</v>
      </c>
      <c r="M96" s="46" t="s">
        <v>1581</v>
      </c>
      <c r="N96" s="46" t="s">
        <v>1582</v>
      </c>
      <c r="O96" s="46" t="s">
        <v>1583</v>
      </c>
    </row>
    <row r="97" spans="2:15">
      <c r="B97" s="46" t="s">
        <v>283</v>
      </c>
      <c r="C97" s="46" t="s">
        <v>4810</v>
      </c>
      <c r="D97" s="46" t="s">
        <v>3268</v>
      </c>
      <c r="E97" s="46" t="s">
        <v>285</v>
      </c>
      <c r="F97" s="46" t="s">
        <v>6136</v>
      </c>
      <c r="G97" s="46" t="s">
        <v>6137</v>
      </c>
      <c r="H97" s="46" t="s">
        <v>1095</v>
      </c>
      <c r="I97" s="46" t="s">
        <v>1584</v>
      </c>
      <c r="J97" s="46" t="s">
        <v>1585</v>
      </c>
      <c r="K97" s="46" t="s">
        <v>1586</v>
      </c>
      <c r="L97" s="46" t="s">
        <v>1587</v>
      </c>
      <c r="M97" s="46" t="s">
        <v>1588</v>
      </c>
      <c r="N97" s="46" t="s">
        <v>1589</v>
      </c>
      <c r="O97" s="46" t="s">
        <v>1590</v>
      </c>
    </row>
    <row r="98" spans="2:15">
      <c r="B98" s="46" t="s">
        <v>283</v>
      </c>
      <c r="C98" s="46" t="s">
        <v>4811</v>
      </c>
      <c r="D98" s="46" t="s">
        <v>3278</v>
      </c>
      <c r="E98" s="46" t="s">
        <v>284</v>
      </c>
      <c r="F98" s="46" t="s">
        <v>6138</v>
      </c>
      <c r="G98" s="46" t="s">
        <v>6139</v>
      </c>
      <c r="H98" s="46" t="s">
        <v>1095</v>
      </c>
      <c r="I98" s="46" t="s">
        <v>1591</v>
      </c>
      <c r="J98" s="46" t="s">
        <v>1592</v>
      </c>
      <c r="K98" s="46" t="s">
        <v>1593</v>
      </c>
      <c r="L98" s="46" t="s">
        <v>1594</v>
      </c>
      <c r="M98" s="46" t="s">
        <v>1595</v>
      </c>
      <c r="N98" s="46" t="s">
        <v>1596</v>
      </c>
      <c r="O98" s="46" t="s">
        <v>1597</v>
      </c>
    </row>
    <row r="99" spans="2:15">
      <c r="B99" s="46" t="s">
        <v>283</v>
      </c>
      <c r="C99" s="46" t="s">
        <v>4812</v>
      </c>
      <c r="D99" s="46" t="s">
        <v>3288</v>
      </c>
      <c r="O99" s="46" t="s">
        <v>1604</v>
      </c>
    </row>
    <row r="100" spans="2:15">
      <c r="B100" s="46" t="s">
        <v>279</v>
      </c>
      <c r="C100" s="46" t="s">
        <v>4813</v>
      </c>
      <c r="D100" s="46" t="s">
        <v>3298</v>
      </c>
      <c r="E100" s="46" t="s">
        <v>282</v>
      </c>
      <c r="F100" s="46" t="s">
        <v>6140</v>
      </c>
      <c r="G100" s="46" t="s">
        <v>6141</v>
      </c>
      <c r="H100" s="46" t="s">
        <v>1095</v>
      </c>
      <c r="I100" s="46" t="s">
        <v>1605</v>
      </c>
      <c r="J100" s="46" t="s">
        <v>1606</v>
      </c>
      <c r="K100" s="46" t="s">
        <v>1607</v>
      </c>
      <c r="L100" s="46" t="s">
        <v>1608</v>
      </c>
      <c r="M100" s="46" t="s">
        <v>1609</v>
      </c>
      <c r="N100" s="46" t="s">
        <v>1610</v>
      </c>
      <c r="O100" s="46" t="s">
        <v>1611</v>
      </c>
    </row>
    <row r="101" spans="2:15">
      <c r="B101" s="46" t="s">
        <v>279</v>
      </c>
      <c r="C101" s="46" t="s">
        <v>4814</v>
      </c>
      <c r="D101" s="46" t="s">
        <v>3308</v>
      </c>
      <c r="E101" s="46" t="s">
        <v>281</v>
      </c>
      <c r="F101" s="46" t="s">
        <v>6142</v>
      </c>
      <c r="G101" s="46" t="s">
        <v>6143</v>
      </c>
      <c r="H101" s="46" t="s">
        <v>1095</v>
      </c>
      <c r="I101" s="46" t="s">
        <v>1612</v>
      </c>
      <c r="J101" s="46" t="s">
        <v>1613</v>
      </c>
      <c r="K101" s="46" t="s">
        <v>1614</v>
      </c>
      <c r="L101" s="46" t="s">
        <v>1615</v>
      </c>
      <c r="M101" s="46" t="s">
        <v>1616</v>
      </c>
      <c r="N101" s="46" t="s">
        <v>1617</v>
      </c>
      <c r="O101" s="46" t="s">
        <v>1618</v>
      </c>
    </row>
    <row r="102" spans="2:15">
      <c r="B102" s="46" t="s">
        <v>279</v>
      </c>
      <c r="C102" s="46" t="s">
        <v>4815</v>
      </c>
      <c r="D102" s="46" t="s">
        <v>3318</v>
      </c>
      <c r="E102" s="46" t="s">
        <v>280</v>
      </c>
      <c r="F102" s="46" t="s">
        <v>6144</v>
      </c>
      <c r="G102" s="46" t="s">
        <v>6145</v>
      </c>
      <c r="H102" s="46" t="s">
        <v>1095</v>
      </c>
      <c r="I102" s="46" t="s">
        <v>1619</v>
      </c>
      <c r="J102" s="46" t="s">
        <v>1620</v>
      </c>
      <c r="K102" s="46" t="s">
        <v>1621</v>
      </c>
      <c r="L102" s="46" t="s">
        <v>1622</v>
      </c>
      <c r="M102" s="46" t="s">
        <v>1623</v>
      </c>
      <c r="N102" s="46" t="s">
        <v>1624</v>
      </c>
      <c r="O102" s="46" t="s">
        <v>1625</v>
      </c>
    </row>
    <row r="103" spans="2:15">
      <c r="B103" s="46" t="s">
        <v>279</v>
      </c>
      <c r="C103" s="46" t="s">
        <v>4816</v>
      </c>
      <c r="D103" s="46" t="s">
        <v>3328</v>
      </c>
      <c r="O103" s="46" t="s">
        <v>1632</v>
      </c>
    </row>
    <row r="104" spans="2:15">
      <c r="B104" s="46" t="s">
        <v>278</v>
      </c>
      <c r="C104" s="46" t="s">
        <v>4817</v>
      </c>
      <c r="D104" s="46" t="s">
        <v>3338</v>
      </c>
      <c r="I104" s="46" t="s">
        <v>1633</v>
      </c>
      <c r="J104" s="46" t="s">
        <v>1634</v>
      </c>
      <c r="K104" s="46" t="s">
        <v>1635</v>
      </c>
      <c r="L104" s="46" t="s">
        <v>1636</v>
      </c>
      <c r="M104" s="46" t="s">
        <v>1637</v>
      </c>
      <c r="N104" s="46" t="s">
        <v>1638</v>
      </c>
      <c r="O104" s="46" t="s">
        <v>1639</v>
      </c>
    </row>
    <row r="105" spans="2:15">
      <c r="B105" s="46" t="s">
        <v>277</v>
      </c>
      <c r="C105" s="46" t="s">
        <v>4818</v>
      </c>
      <c r="D105" s="46" t="s">
        <v>3348</v>
      </c>
      <c r="I105" s="46" t="s">
        <v>1640</v>
      </c>
      <c r="J105" s="46" t="s">
        <v>1641</v>
      </c>
      <c r="K105" s="46" t="s">
        <v>1642</v>
      </c>
      <c r="L105" s="46" t="s">
        <v>1643</v>
      </c>
      <c r="M105" s="46" t="s">
        <v>1644</v>
      </c>
      <c r="N105" s="46" t="s">
        <v>1645</v>
      </c>
      <c r="O105" s="46" t="s">
        <v>1646</v>
      </c>
    </row>
    <row r="106" spans="2:15">
      <c r="B106" s="46" t="s">
        <v>276</v>
      </c>
      <c r="C106" s="46" t="s">
        <v>4819</v>
      </c>
      <c r="D106" s="46" t="s">
        <v>3358</v>
      </c>
      <c r="I106" s="46" t="s">
        <v>1647</v>
      </c>
      <c r="J106" s="46" t="s">
        <v>1648</v>
      </c>
      <c r="K106" s="46" t="s">
        <v>1649</v>
      </c>
      <c r="L106" s="46" t="s">
        <v>1650</v>
      </c>
      <c r="M106" s="46" t="s">
        <v>1651</v>
      </c>
      <c r="N106" s="46" t="s">
        <v>1652</v>
      </c>
      <c r="O106" s="46" t="s">
        <v>1653</v>
      </c>
    </row>
    <row r="107" spans="2:15">
      <c r="B107" s="46" t="s">
        <v>275</v>
      </c>
      <c r="C107" s="46" t="s">
        <v>4820</v>
      </c>
      <c r="D107" s="46" t="s">
        <v>3368</v>
      </c>
      <c r="I107" s="46" t="s">
        <v>1654</v>
      </c>
      <c r="J107" s="46" t="s">
        <v>1655</v>
      </c>
      <c r="K107" s="46" t="s">
        <v>1656</v>
      </c>
      <c r="L107" s="46" t="s">
        <v>1657</v>
      </c>
      <c r="M107" s="46" t="s">
        <v>1658</v>
      </c>
      <c r="N107" s="46" t="s">
        <v>1659</v>
      </c>
      <c r="O107" s="46" t="s">
        <v>1660</v>
      </c>
    </row>
    <row r="108" spans="2:15">
      <c r="B108" s="46" t="s">
        <v>274</v>
      </c>
      <c r="C108" s="46" t="s">
        <v>4821</v>
      </c>
      <c r="D108" s="46" t="s">
        <v>3378</v>
      </c>
      <c r="I108" s="46" t="s">
        <v>1661</v>
      </c>
      <c r="J108" s="46" t="s">
        <v>1662</v>
      </c>
      <c r="K108" s="46" t="s">
        <v>1663</v>
      </c>
      <c r="L108" s="46" t="s">
        <v>1664</v>
      </c>
      <c r="M108" s="46" t="s">
        <v>1665</v>
      </c>
      <c r="N108" s="46" t="s">
        <v>1666</v>
      </c>
      <c r="O108" s="46" t="s">
        <v>1667</v>
      </c>
    </row>
    <row r="109" spans="2:15">
      <c r="B109" s="46" t="s">
        <v>273</v>
      </c>
      <c r="C109" s="46" t="s">
        <v>4822</v>
      </c>
      <c r="D109" s="46" t="s">
        <v>3388</v>
      </c>
      <c r="I109" s="46" t="s">
        <v>1668</v>
      </c>
      <c r="J109" s="46" t="s">
        <v>1669</v>
      </c>
      <c r="K109" s="46" t="s">
        <v>1670</v>
      </c>
      <c r="L109" s="46" t="s">
        <v>1671</v>
      </c>
      <c r="M109" s="46" t="s">
        <v>1672</v>
      </c>
      <c r="N109" s="46" t="s">
        <v>1673</v>
      </c>
      <c r="O109" s="46" t="s">
        <v>1674</v>
      </c>
    </row>
    <row r="110" spans="2:15">
      <c r="B110" s="46" t="s">
        <v>272</v>
      </c>
      <c r="C110" s="46" t="s">
        <v>4823</v>
      </c>
      <c r="D110" s="46" t="s">
        <v>3398</v>
      </c>
      <c r="I110" s="46" t="s">
        <v>1675</v>
      </c>
      <c r="J110" s="46" t="s">
        <v>1676</v>
      </c>
      <c r="K110" s="46" t="s">
        <v>1677</v>
      </c>
      <c r="L110" s="46" t="s">
        <v>1678</v>
      </c>
      <c r="M110" s="46" t="s">
        <v>1679</v>
      </c>
      <c r="N110" s="46" t="s">
        <v>1680</v>
      </c>
      <c r="O110" s="46" t="s">
        <v>1681</v>
      </c>
    </row>
    <row r="111" spans="2:15">
      <c r="B111" s="46" t="s">
        <v>271</v>
      </c>
      <c r="C111" s="46" t="s">
        <v>4824</v>
      </c>
      <c r="D111" s="46" t="s">
        <v>3408</v>
      </c>
      <c r="I111" s="46" t="s">
        <v>1682</v>
      </c>
      <c r="J111" s="46" t="s">
        <v>1683</v>
      </c>
      <c r="K111" s="46" t="s">
        <v>1684</v>
      </c>
      <c r="L111" s="46" t="s">
        <v>1685</v>
      </c>
      <c r="M111" s="46" t="s">
        <v>1686</v>
      </c>
      <c r="N111" s="46" t="s">
        <v>1687</v>
      </c>
      <c r="O111" s="46" t="s">
        <v>1688</v>
      </c>
    </row>
    <row r="112" spans="2:15">
      <c r="B112" s="46" t="s">
        <v>270</v>
      </c>
      <c r="C112" s="46" t="s">
        <v>4825</v>
      </c>
      <c r="D112" s="46" t="s">
        <v>3418</v>
      </c>
      <c r="I112" s="46" t="s">
        <v>1689</v>
      </c>
      <c r="J112" s="46" t="s">
        <v>1690</v>
      </c>
      <c r="K112" s="46" t="s">
        <v>1691</v>
      </c>
      <c r="L112" s="46" t="s">
        <v>1692</v>
      </c>
      <c r="M112" s="46" t="s">
        <v>1693</v>
      </c>
      <c r="N112" s="46" t="s">
        <v>1694</v>
      </c>
      <c r="O112" s="46" t="s">
        <v>1695</v>
      </c>
    </row>
    <row r="113" spans="2:15">
      <c r="B113" s="46" t="s">
        <v>269</v>
      </c>
      <c r="C113" s="46" t="s">
        <v>4826</v>
      </c>
      <c r="D113" s="46" t="s">
        <v>3428</v>
      </c>
      <c r="I113" s="46" t="s">
        <v>1696</v>
      </c>
      <c r="J113" s="46" t="s">
        <v>1697</v>
      </c>
      <c r="K113" s="46" t="s">
        <v>1698</v>
      </c>
      <c r="L113" s="46" t="s">
        <v>1699</v>
      </c>
      <c r="M113" s="46" t="s">
        <v>1700</v>
      </c>
      <c r="N113" s="46" t="s">
        <v>1701</v>
      </c>
      <c r="O113" s="46" t="s">
        <v>1702</v>
      </c>
    </row>
    <row r="114" spans="2:15">
      <c r="B114" s="46" t="s">
        <v>268</v>
      </c>
      <c r="C114" s="46" t="s">
        <v>4827</v>
      </c>
      <c r="D114" s="46" t="s">
        <v>3438</v>
      </c>
      <c r="I114" s="46" t="s">
        <v>1703</v>
      </c>
      <c r="J114" s="46" t="s">
        <v>1704</v>
      </c>
      <c r="K114" s="46" t="s">
        <v>1705</v>
      </c>
      <c r="L114" s="46" t="s">
        <v>1706</v>
      </c>
      <c r="M114" s="46" t="s">
        <v>1707</v>
      </c>
      <c r="N114" s="46" t="s">
        <v>1708</v>
      </c>
      <c r="O114" s="46" t="s">
        <v>1709</v>
      </c>
    </row>
    <row r="115" spans="2:15">
      <c r="B115" s="46" t="s">
        <v>267</v>
      </c>
      <c r="C115" s="46" t="s">
        <v>4828</v>
      </c>
      <c r="D115" s="46" t="s">
        <v>3448</v>
      </c>
      <c r="I115" s="46" t="s">
        <v>1710</v>
      </c>
      <c r="J115" s="46" t="s">
        <v>1711</v>
      </c>
      <c r="K115" s="46" t="s">
        <v>1712</v>
      </c>
      <c r="L115" s="46" t="s">
        <v>1713</v>
      </c>
      <c r="M115" s="46" t="s">
        <v>1714</v>
      </c>
      <c r="N115" s="46" t="s">
        <v>1715</v>
      </c>
      <c r="O115" s="46" t="s">
        <v>1716</v>
      </c>
    </row>
    <row r="116" spans="2:15">
      <c r="B116" s="46" t="s">
        <v>266</v>
      </c>
      <c r="C116" s="46" t="s">
        <v>4829</v>
      </c>
      <c r="D116" s="46" t="s">
        <v>3458</v>
      </c>
      <c r="I116" s="46" t="s">
        <v>1718</v>
      </c>
      <c r="J116" s="46" t="s">
        <v>1719</v>
      </c>
      <c r="K116" s="46" t="s">
        <v>1720</v>
      </c>
      <c r="L116" s="46" t="s">
        <v>1721</v>
      </c>
      <c r="M116" s="46" t="s">
        <v>1722</v>
      </c>
      <c r="N116" s="46" t="s">
        <v>1723</v>
      </c>
      <c r="O116" s="46" t="s">
        <v>1724</v>
      </c>
    </row>
    <row r="117" spans="2:15">
      <c r="B117" s="46" t="s">
        <v>265</v>
      </c>
      <c r="C117" s="46" t="s">
        <v>4832</v>
      </c>
      <c r="D117" s="46" t="s">
        <v>3468</v>
      </c>
      <c r="I117" s="46" t="s">
        <v>1726</v>
      </c>
      <c r="J117" s="46" t="s">
        <v>1727</v>
      </c>
      <c r="K117" s="46" t="s">
        <v>1728</v>
      </c>
      <c r="L117" s="46" t="s">
        <v>1729</v>
      </c>
      <c r="M117" s="46" t="s">
        <v>1730</v>
      </c>
      <c r="N117" s="46" t="s">
        <v>1731</v>
      </c>
      <c r="O117" s="46" t="s">
        <v>1732</v>
      </c>
    </row>
    <row r="118" spans="2:15">
      <c r="B118" s="46" t="s">
        <v>264</v>
      </c>
      <c r="C118" s="46" t="s">
        <v>4835</v>
      </c>
      <c r="D118" s="46" t="s">
        <v>3478</v>
      </c>
      <c r="I118" s="46" t="s">
        <v>2363</v>
      </c>
      <c r="J118" s="46" t="s">
        <v>2364</v>
      </c>
      <c r="K118" s="46" t="s">
        <v>2365</v>
      </c>
      <c r="L118" s="46" t="s">
        <v>2366</v>
      </c>
      <c r="M118" s="46" t="s">
        <v>2367</v>
      </c>
      <c r="N118" s="46" t="s">
        <v>2368</v>
      </c>
      <c r="O118" s="46" t="s">
        <v>1733</v>
      </c>
    </row>
    <row r="119" spans="2:15">
      <c r="B119" s="46" t="s">
        <v>263</v>
      </c>
      <c r="C119" s="46" t="s">
        <v>4836</v>
      </c>
      <c r="D119" s="46" t="s">
        <v>3488</v>
      </c>
      <c r="I119" s="46" t="s">
        <v>1734</v>
      </c>
      <c r="J119" s="46" t="s">
        <v>1735</v>
      </c>
      <c r="K119" s="46" t="s">
        <v>1736</v>
      </c>
      <c r="L119" s="46" t="s">
        <v>1737</v>
      </c>
      <c r="M119" s="46" t="s">
        <v>1738</v>
      </c>
      <c r="N119" s="46" t="s">
        <v>1739</v>
      </c>
      <c r="O119" s="46" t="s">
        <v>1740</v>
      </c>
    </row>
    <row r="120" spans="2:15">
      <c r="B120" s="46" t="s">
        <v>262</v>
      </c>
      <c r="C120" s="46" t="s">
        <v>4837</v>
      </c>
      <c r="D120" s="46" t="s">
        <v>3498</v>
      </c>
      <c r="I120" s="46" t="s">
        <v>1741</v>
      </c>
      <c r="J120" s="46" t="s">
        <v>1742</v>
      </c>
      <c r="K120" s="46" t="s">
        <v>1743</v>
      </c>
      <c r="L120" s="46" t="s">
        <v>1744</v>
      </c>
      <c r="M120" s="46" t="s">
        <v>1745</v>
      </c>
      <c r="N120" s="46" t="s">
        <v>1746</v>
      </c>
      <c r="O120" s="46" t="s">
        <v>1747</v>
      </c>
    </row>
    <row r="121" spans="2:15">
      <c r="B121" s="46" t="s">
        <v>261</v>
      </c>
      <c r="C121" s="46" t="s">
        <v>4838</v>
      </c>
      <c r="D121" s="46" t="s">
        <v>3508</v>
      </c>
      <c r="I121" s="46" t="s">
        <v>1748</v>
      </c>
      <c r="J121" s="46" t="s">
        <v>1749</v>
      </c>
      <c r="K121" s="46" t="s">
        <v>1750</v>
      </c>
      <c r="L121" s="46" t="s">
        <v>1751</v>
      </c>
      <c r="M121" s="46" t="s">
        <v>1752</v>
      </c>
      <c r="N121" s="46" t="s">
        <v>1753</v>
      </c>
      <c r="O121" s="46" t="s">
        <v>1754</v>
      </c>
    </row>
    <row r="122" spans="2:15">
      <c r="B122" s="46" t="s">
        <v>260</v>
      </c>
      <c r="C122" s="46" t="s">
        <v>4839</v>
      </c>
      <c r="D122" s="46" t="s">
        <v>3518</v>
      </c>
      <c r="I122" s="46" t="s">
        <v>1755</v>
      </c>
      <c r="J122" s="46" t="s">
        <v>1756</v>
      </c>
      <c r="K122" s="46" t="s">
        <v>1757</v>
      </c>
      <c r="L122" s="46" t="s">
        <v>1758</v>
      </c>
      <c r="M122" s="46" t="s">
        <v>1759</v>
      </c>
      <c r="N122" s="46" t="s">
        <v>1760</v>
      </c>
      <c r="O122" s="46" t="s">
        <v>1761</v>
      </c>
    </row>
    <row r="123" spans="2:15">
      <c r="B123" s="46" t="s">
        <v>259</v>
      </c>
      <c r="C123" s="46" t="s">
        <v>4840</v>
      </c>
      <c r="D123" s="46" t="s">
        <v>3528</v>
      </c>
      <c r="I123" s="46" t="s">
        <v>1762</v>
      </c>
      <c r="J123" s="46" t="s">
        <v>1763</v>
      </c>
      <c r="K123" s="46" t="s">
        <v>1764</v>
      </c>
      <c r="L123" s="46" t="s">
        <v>1765</v>
      </c>
      <c r="M123" s="46" t="s">
        <v>1766</v>
      </c>
      <c r="N123" s="46" t="s">
        <v>1767</v>
      </c>
      <c r="O123" s="46" t="s">
        <v>1768</v>
      </c>
    </row>
    <row r="124" spans="2:15">
      <c r="B124" s="46" t="s">
        <v>258</v>
      </c>
      <c r="C124" s="46" t="s">
        <v>4841</v>
      </c>
      <c r="D124" s="46" t="s">
        <v>3538</v>
      </c>
      <c r="I124" s="46" t="s">
        <v>1769</v>
      </c>
      <c r="J124" s="46" t="s">
        <v>1770</v>
      </c>
      <c r="K124" s="46" t="s">
        <v>1771</v>
      </c>
      <c r="L124" s="46" t="s">
        <v>1772</v>
      </c>
      <c r="M124" s="46" t="s">
        <v>1773</v>
      </c>
      <c r="N124" s="46" t="s">
        <v>1774</v>
      </c>
      <c r="O124" s="46" t="s">
        <v>1775</v>
      </c>
    </row>
    <row r="125" spans="2:15">
      <c r="B125" s="46" t="s">
        <v>257</v>
      </c>
      <c r="C125" s="46" t="s">
        <v>4842</v>
      </c>
      <c r="D125" s="46" t="s">
        <v>3548</v>
      </c>
      <c r="I125" s="46" t="s">
        <v>1776</v>
      </c>
      <c r="J125" s="46" t="s">
        <v>1777</v>
      </c>
      <c r="K125" s="46" t="s">
        <v>1778</v>
      </c>
      <c r="L125" s="46" t="s">
        <v>1779</v>
      </c>
      <c r="M125" s="46" t="s">
        <v>1780</v>
      </c>
      <c r="N125" s="46" t="s">
        <v>1781</v>
      </c>
      <c r="O125" s="46" t="s">
        <v>1782</v>
      </c>
    </row>
    <row r="126" spans="2:15">
      <c r="B126" s="46" t="s">
        <v>256</v>
      </c>
      <c r="C126" s="46" t="s">
        <v>4843</v>
      </c>
      <c r="D126" s="46" t="s">
        <v>3558</v>
      </c>
      <c r="I126" s="46" t="s">
        <v>1783</v>
      </c>
      <c r="J126" s="46" t="s">
        <v>1784</v>
      </c>
      <c r="K126" s="46" t="s">
        <v>1785</v>
      </c>
      <c r="L126" s="46" t="s">
        <v>1786</v>
      </c>
      <c r="M126" s="46" t="s">
        <v>1787</v>
      </c>
      <c r="N126" s="46" t="s">
        <v>1788</v>
      </c>
      <c r="O126" s="46" t="s">
        <v>1789</v>
      </c>
    </row>
    <row r="127" spans="2:15">
      <c r="B127" s="46" t="s">
        <v>255</v>
      </c>
      <c r="C127" s="46" t="s">
        <v>4844</v>
      </c>
      <c r="D127" s="46" t="s">
        <v>3568</v>
      </c>
      <c r="I127" s="46" t="s">
        <v>1790</v>
      </c>
      <c r="J127" s="46" t="s">
        <v>1791</v>
      </c>
      <c r="K127" s="46" t="s">
        <v>1792</v>
      </c>
      <c r="L127" s="46" t="s">
        <v>1793</v>
      </c>
      <c r="M127" s="46" t="s">
        <v>1794</v>
      </c>
      <c r="N127" s="46" t="s">
        <v>1795</v>
      </c>
      <c r="O127" s="46" t="s">
        <v>1796</v>
      </c>
    </row>
    <row r="128" spans="2:15">
      <c r="B128" s="46" t="s">
        <v>254</v>
      </c>
      <c r="C128" s="46" t="s">
        <v>4845</v>
      </c>
      <c r="D128" s="46" t="s">
        <v>3578</v>
      </c>
      <c r="I128" s="46" t="s">
        <v>1797</v>
      </c>
      <c r="J128" s="46" t="s">
        <v>1798</v>
      </c>
      <c r="K128" s="46" t="s">
        <v>1799</v>
      </c>
      <c r="L128" s="46" t="s">
        <v>1800</v>
      </c>
      <c r="M128" s="46" t="s">
        <v>1801</v>
      </c>
      <c r="N128" s="46" t="s">
        <v>1802</v>
      </c>
      <c r="O128" s="46" t="s">
        <v>1803</v>
      </c>
    </row>
    <row r="129" spans="2:15">
      <c r="B129" s="46" t="s">
        <v>253</v>
      </c>
      <c r="C129" s="46" t="s">
        <v>4846</v>
      </c>
      <c r="D129" s="46" t="s">
        <v>3588</v>
      </c>
      <c r="I129" s="46" t="s">
        <v>1804</v>
      </c>
      <c r="J129" s="46" t="s">
        <v>1805</v>
      </c>
      <c r="K129" s="46" t="s">
        <v>1806</v>
      </c>
      <c r="L129" s="46" t="s">
        <v>1807</v>
      </c>
      <c r="M129" s="46" t="s">
        <v>1808</v>
      </c>
      <c r="N129" s="46" t="s">
        <v>1809</v>
      </c>
      <c r="O129" s="46" t="s">
        <v>1810</v>
      </c>
    </row>
    <row r="130" spans="2:15">
      <c r="B130" s="46" t="s">
        <v>249</v>
      </c>
      <c r="C130" s="46" t="s">
        <v>4847</v>
      </c>
      <c r="D130" s="46" t="s">
        <v>3598</v>
      </c>
      <c r="E130" s="46" t="s">
        <v>252</v>
      </c>
      <c r="F130" s="46" t="s">
        <v>6146</v>
      </c>
      <c r="G130" s="46" t="s">
        <v>6147</v>
      </c>
      <c r="H130" s="46" t="s">
        <v>1095</v>
      </c>
      <c r="I130" s="46" t="s">
        <v>1811</v>
      </c>
      <c r="J130" s="46" t="s">
        <v>1812</v>
      </c>
      <c r="K130" s="46" t="s">
        <v>1813</v>
      </c>
      <c r="L130" s="46" t="s">
        <v>1814</v>
      </c>
      <c r="M130" s="46" t="s">
        <v>1815</v>
      </c>
      <c r="N130" s="46" t="s">
        <v>1816</v>
      </c>
      <c r="O130" s="46" t="s">
        <v>1817</v>
      </c>
    </row>
    <row r="131" spans="2:15">
      <c r="B131" s="46" t="s">
        <v>249</v>
      </c>
      <c r="C131" s="46" t="s">
        <v>4848</v>
      </c>
      <c r="D131" s="46" t="s">
        <v>3608</v>
      </c>
      <c r="E131" s="46" t="s">
        <v>251</v>
      </c>
      <c r="F131" s="46" t="s">
        <v>6148</v>
      </c>
      <c r="G131" s="46" t="s">
        <v>6149</v>
      </c>
      <c r="H131" s="46" t="s">
        <v>1095</v>
      </c>
      <c r="I131" s="46" t="s">
        <v>1818</v>
      </c>
      <c r="J131" s="46" t="s">
        <v>1819</v>
      </c>
      <c r="K131" s="46" t="s">
        <v>1820</v>
      </c>
      <c r="L131" s="46" t="s">
        <v>1821</v>
      </c>
      <c r="M131" s="46" t="s">
        <v>1822</v>
      </c>
      <c r="N131" s="46" t="s">
        <v>1823</v>
      </c>
      <c r="O131" s="46" t="s">
        <v>1824</v>
      </c>
    </row>
    <row r="132" spans="2:15">
      <c r="B132" s="46" t="s">
        <v>249</v>
      </c>
      <c r="C132" s="46" t="s">
        <v>4849</v>
      </c>
      <c r="D132" s="46" t="s">
        <v>3618</v>
      </c>
      <c r="E132" s="46" t="s">
        <v>250</v>
      </c>
      <c r="F132" s="46" t="s">
        <v>6150</v>
      </c>
      <c r="G132" s="46" t="s">
        <v>6151</v>
      </c>
      <c r="H132" s="46" t="s">
        <v>1095</v>
      </c>
      <c r="I132" s="46" t="s">
        <v>1825</v>
      </c>
      <c r="J132" s="46" t="s">
        <v>1826</v>
      </c>
      <c r="K132" s="46" t="s">
        <v>1827</v>
      </c>
      <c r="L132" s="46" t="s">
        <v>1828</v>
      </c>
      <c r="M132" s="46" t="s">
        <v>1829</v>
      </c>
      <c r="N132" s="46" t="s">
        <v>1830</v>
      </c>
      <c r="O132" s="46" t="s">
        <v>1831</v>
      </c>
    </row>
    <row r="133" spans="2:15">
      <c r="B133" s="46" t="s">
        <v>249</v>
      </c>
      <c r="C133" s="46" t="s">
        <v>4850</v>
      </c>
      <c r="D133" s="46" t="s">
        <v>3628</v>
      </c>
      <c r="O133" s="46" t="s">
        <v>1838</v>
      </c>
    </row>
    <row r="134" spans="2:15">
      <c r="B134" s="46" t="s">
        <v>248</v>
      </c>
      <c r="C134" s="46" t="s">
        <v>4851</v>
      </c>
      <c r="D134" s="46" t="s">
        <v>3638</v>
      </c>
      <c r="I134" s="46" t="s">
        <v>1839</v>
      </c>
      <c r="J134" s="46" t="s">
        <v>1840</v>
      </c>
      <c r="K134" s="46" t="s">
        <v>1841</v>
      </c>
      <c r="L134" s="46" t="s">
        <v>1842</v>
      </c>
      <c r="M134" s="46" t="s">
        <v>1843</v>
      </c>
      <c r="N134" s="46" t="s">
        <v>1844</v>
      </c>
      <c r="O134" s="46" t="s">
        <v>1845</v>
      </c>
    </row>
    <row r="135" spans="2:15">
      <c r="B135" s="46" t="s">
        <v>247</v>
      </c>
      <c r="C135" s="46" t="s">
        <v>4852</v>
      </c>
      <c r="D135" s="46" t="s">
        <v>3648</v>
      </c>
      <c r="I135" s="46" t="s">
        <v>1846</v>
      </c>
      <c r="J135" s="46" t="s">
        <v>1847</v>
      </c>
      <c r="K135" s="46" t="s">
        <v>1848</v>
      </c>
      <c r="L135" s="46" t="s">
        <v>1849</v>
      </c>
      <c r="M135" s="46" t="s">
        <v>1850</v>
      </c>
      <c r="N135" s="46" t="s">
        <v>1851</v>
      </c>
      <c r="O135" s="46" t="s">
        <v>1852</v>
      </c>
    </row>
    <row r="136" spans="2:15">
      <c r="B136" s="46" t="s">
        <v>246</v>
      </c>
      <c r="C136" s="46" t="s">
        <v>4853</v>
      </c>
      <c r="D136" s="46" t="s">
        <v>3658</v>
      </c>
      <c r="I136" s="46" t="s">
        <v>1853</v>
      </c>
      <c r="J136" s="46" t="s">
        <v>1854</v>
      </c>
      <c r="K136" s="46" t="s">
        <v>1855</v>
      </c>
      <c r="L136" s="46" t="s">
        <v>1856</v>
      </c>
      <c r="M136" s="46" t="s">
        <v>1857</v>
      </c>
      <c r="N136" s="46" t="s">
        <v>1858</v>
      </c>
      <c r="O136" s="46" t="s">
        <v>1859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3059E8-F12E-4DA8-A7ED-AB7EEAB7FE38}">
  <dimension ref="A1:L233"/>
  <sheetViews>
    <sheetView workbookViewId="0"/>
  </sheetViews>
  <sheetFormatPr baseColWidth="10" defaultColWidth="9.140625" defaultRowHeight="15"/>
  <sheetData>
    <row r="1" spans="1:12">
      <c r="A1" s="46" t="s">
        <v>6157</v>
      </c>
      <c r="B1" s="46" t="s">
        <v>0</v>
      </c>
      <c r="C1" s="46" t="s">
        <v>0</v>
      </c>
      <c r="D1" s="46" t="s">
        <v>0</v>
      </c>
      <c r="E1" s="46" t="s">
        <v>0</v>
      </c>
      <c r="F1" s="46" t="s">
        <v>0</v>
      </c>
      <c r="G1" s="46" t="s">
        <v>0</v>
      </c>
      <c r="H1" s="46" t="s">
        <v>0</v>
      </c>
      <c r="I1" s="46" t="s">
        <v>0</v>
      </c>
      <c r="J1" s="46" t="s">
        <v>0</v>
      </c>
      <c r="K1" s="46" t="s">
        <v>0</v>
      </c>
      <c r="L1" s="46" t="s">
        <v>0</v>
      </c>
    </row>
    <row r="3" spans="1:12">
      <c r="B3" s="46" t="s">
        <v>603</v>
      </c>
    </row>
    <row r="5" spans="1:12">
      <c r="G5" s="46" t="s">
        <v>2</v>
      </c>
    </row>
    <row r="6" spans="1:12">
      <c r="B6" s="46" t="s">
        <v>3</v>
      </c>
      <c r="C6" s="46" t="s">
        <v>4</v>
      </c>
      <c r="D6" s="46" t="s">
        <v>1040</v>
      </c>
      <c r="E6" s="46" t="s">
        <v>602</v>
      </c>
      <c r="F6" s="46" t="s">
        <v>601</v>
      </c>
      <c r="G6" s="46" t="s">
        <v>7</v>
      </c>
      <c r="H6" s="46" t="s">
        <v>8</v>
      </c>
      <c r="I6" s="46" t="s">
        <v>9</v>
      </c>
      <c r="J6" s="46" t="s">
        <v>10</v>
      </c>
      <c r="K6" s="46" t="s">
        <v>11</v>
      </c>
      <c r="L6" s="46" t="s">
        <v>12</v>
      </c>
    </row>
    <row r="7" spans="1:12">
      <c r="B7" s="46" t="s">
        <v>496</v>
      </c>
      <c r="C7" s="46" t="s">
        <v>2371</v>
      </c>
      <c r="D7" s="46" t="s">
        <v>2372</v>
      </c>
      <c r="E7" s="46" t="s">
        <v>2373</v>
      </c>
      <c r="F7" s="46" t="s">
        <v>2374</v>
      </c>
      <c r="G7" s="46" t="s">
        <v>2375</v>
      </c>
      <c r="H7" s="46" t="s">
        <v>2376</v>
      </c>
      <c r="I7" s="46" t="s">
        <v>2377</v>
      </c>
      <c r="J7" s="46" t="s">
        <v>2378</v>
      </c>
      <c r="K7" s="46" t="s">
        <v>2379</v>
      </c>
      <c r="L7" s="46" t="s">
        <v>2380</v>
      </c>
    </row>
    <row r="8" spans="1:12">
      <c r="B8" s="46" t="s">
        <v>600</v>
      </c>
      <c r="C8" s="46" t="s">
        <v>2381</v>
      </c>
      <c r="D8" s="46" t="s">
        <v>2382</v>
      </c>
      <c r="E8" s="46" t="s">
        <v>2383</v>
      </c>
      <c r="F8" s="46" t="s">
        <v>2384</v>
      </c>
      <c r="G8" s="46" t="s">
        <v>2385</v>
      </c>
      <c r="H8" s="46" t="s">
        <v>2386</v>
      </c>
      <c r="I8" s="46" t="s">
        <v>2387</v>
      </c>
      <c r="J8" s="46" t="s">
        <v>2388</v>
      </c>
      <c r="K8" s="46" t="s">
        <v>2389</v>
      </c>
      <c r="L8" s="46" t="s">
        <v>2390</v>
      </c>
    </row>
    <row r="9" spans="1:12">
      <c r="B9" s="46" t="s">
        <v>599</v>
      </c>
      <c r="C9" s="46" t="s">
        <v>2391</v>
      </c>
      <c r="D9" s="46" t="s">
        <v>2392</v>
      </c>
      <c r="E9" s="46" t="s">
        <v>2393</v>
      </c>
      <c r="F9" s="46" t="s">
        <v>2394</v>
      </c>
      <c r="G9" s="46" t="s">
        <v>2395</v>
      </c>
      <c r="H9" s="46" t="s">
        <v>2396</v>
      </c>
      <c r="I9" s="46" t="s">
        <v>2397</v>
      </c>
      <c r="J9" s="46" t="s">
        <v>2398</v>
      </c>
      <c r="K9" s="46" t="s">
        <v>2399</v>
      </c>
      <c r="L9" s="46" t="s">
        <v>2400</v>
      </c>
    </row>
    <row r="10" spans="1:12">
      <c r="B10" s="46" t="s">
        <v>598</v>
      </c>
      <c r="C10" s="46" t="s">
        <v>2401</v>
      </c>
      <c r="D10" s="46" t="s">
        <v>2402</v>
      </c>
      <c r="E10" s="46" t="s">
        <v>2403</v>
      </c>
      <c r="F10" s="46" t="s">
        <v>2404</v>
      </c>
      <c r="G10" s="46" t="s">
        <v>2405</v>
      </c>
      <c r="H10" s="46" t="s">
        <v>2406</v>
      </c>
      <c r="I10" s="46" t="s">
        <v>2407</v>
      </c>
      <c r="J10" s="46" t="s">
        <v>2408</v>
      </c>
      <c r="K10" s="46" t="s">
        <v>2409</v>
      </c>
      <c r="L10" s="46" t="s">
        <v>2410</v>
      </c>
    </row>
    <row r="11" spans="1:12">
      <c r="B11" s="46" t="s">
        <v>597</v>
      </c>
      <c r="C11" s="46" t="s">
        <v>2411</v>
      </c>
      <c r="D11" s="46" t="s">
        <v>2412</v>
      </c>
      <c r="E11" s="46" t="s">
        <v>2413</v>
      </c>
      <c r="F11" s="46" t="s">
        <v>2414</v>
      </c>
      <c r="G11" s="46" t="s">
        <v>2415</v>
      </c>
      <c r="H11" s="46" t="s">
        <v>2416</v>
      </c>
      <c r="I11" s="46" t="s">
        <v>2417</v>
      </c>
      <c r="J11" s="46" t="s">
        <v>2418</v>
      </c>
      <c r="K11" s="46" t="s">
        <v>2419</v>
      </c>
      <c r="L11" s="46" t="s">
        <v>2420</v>
      </c>
    </row>
    <row r="12" spans="1:12">
      <c r="B12" s="46" t="s">
        <v>596</v>
      </c>
      <c r="C12" s="46" t="s">
        <v>2421</v>
      </c>
      <c r="D12" s="46" t="s">
        <v>2422</v>
      </c>
      <c r="E12" s="46" t="s">
        <v>2423</v>
      </c>
      <c r="F12" s="46" t="s">
        <v>2424</v>
      </c>
      <c r="G12" s="46" t="s">
        <v>2425</v>
      </c>
      <c r="H12" s="46" t="s">
        <v>2426</v>
      </c>
      <c r="I12" s="46" t="s">
        <v>2427</v>
      </c>
      <c r="J12" s="46" t="s">
        <v>2428</v>
      </c>
      <c r="K12" s="46" t="s">
        <v>2429</v>
      </c>
      <c r="L12" s="46" t="s">
        <v>2430</v>
      </c>
    </row>
    <row r="13" spans="1:12">
      <c r="B13" s="46" t="s">
        <v>595</v>
      </c>
      <c r="C13" s="46" t="s">
        <v>2431</v>
      </c>
      <c r="D13" s="46" t="s">
        <v>2432</v>
      </c>
      <c r="E13" s="46" t="s">
        <v>2433</v>
      </c>
      <c r="F13" s="46" t="s">
        <v>2434</v>
      </c>
      <c r="G13" s="46" t="s">
        <v>2435</v>
      </c>
      <c r="H13" s="46" t="s">
        <v>2436</v>
      </c>
      <c r="I13" s="46" t="s">
        <v>2437</v>
      </c>
      <c r="J13" s="46" t="s">
        <v>2438</v>
      </c>
      <c r="K13" s="46" t="s">
        <v>2439</v>
      </c>
      <c r="L13" s="46" t="s">
        <v>2440</v>
      </c>
    </row>
    <row r="14" spans="1:12">
      <c r="B14" s="46" t="s">
        <v>594</v>
      </c>
      <c r="C14" s="46" t="s">
        <v>2441</v>
      </c>
      <c r="D14" s="46" t="s">
        <v>2442</v>
      </c>
      <c r="E14" s="46" t="s">
        <v>2443</v>
      </c>
      <c r="F14" s="46" t="s">
        <v>2444</v>
      </c>
      <c r="G14" s="46" t="s">
        <v>2445</v>
      </c>
      <c r="H14" s="46" t="s">
        <v>2446</v>
      </c>
      <c r="I14" s="46" t="s">
        <v>2447</v>
      </c>
      <c r="J14" s="46" t="s">
        <v>2448</v>
      </c>
      <c r="K14" s="46" t="s">
        <v>2449</v>
      </c>
      <c r="L14" s="46" t="s">
        <v>2450</v>
      </c>
    </row>
    <row r="15" spans="1:12">
      <c r="B15" s="46" t="s">
        <v>593</v>
      </c>
      <c r="C15" s="46" t="s">
        <v>2451</v>
      </c>
      <c r="D15" s="46" t="s">
        <v>2452</v>
      </c>
      <c r="E15" s="46" t="s">
        <v>2453</v>
      </c>
      <c r="F15" s="46" t="s">
        <v>2454</v>
      </c>
      <c r="G15" s="46" t="s">
        <v>2455</v>
      </c>
      <c r="H15" s="46" t="s">
        <v>2456</v>
      </c>
      <c r="I15" s="46" t="s">
        <v>2457</v>
      </c>
      <c r="J15" s="46" t="s">
        <v>2458</v>
      </c>
      <c r="K15" s="46" t="s">
        <v>2459</v>
      </c>
      <c r="L15" s="46" t="s">
        <v>2460</v>
      </c>
    </row>
    <row r="16" spans="1:12">
      <c r="B16" s="46" t="s">
        <v>592</v>
      </c>
      <c r="C16" s="46" t="s">
        <v>2461</v>
      </c>
      <c r="D16" s="46" t="s">
        <v>2462</v>
      </c>
      <c r="E16" s="46" t="s">
        <v>2463</v>
      </c>
      <c r="F16" s="46" t="s">
        <v>2464</v>
      </c>
      <c r="G16" s="46" t="s">
        <v>2465</v>
      </c>
      <c r="H16" s="46" t="s">
        <v>2466</v>
      </c>
      <c r="I16" s="46" t="s">
        <v>2467</v>
      </c>
      <c r="J16" s="46" t="s">
        <v>2468</v>
      </c>
      <c r="K16" s="46" t="s">
        <v>2469</v>
      </c>
      <c r="L16" s="46" t="s">
        <v>2470</v>
      </c>
    </row>
    <row r="17" spans="2:12">
      <c r="B17" s="46" t="s">
        <v>591</v>
      </c>
      <c r="C17" s="46" t="s">
        <v>2471</v>
      </c>
      <c r="D17" s="46" t="s">
        <v>2472</v>
      </c>
      <c r="E17" s="46" t="s">
        <v>2473</v>
      </c>
      <c r="F17" s="46" t="s">
        <v>2474</v>
      </c>
      <c r="G17" s="46" t="s">
        <v>2475</v>
      </c>
      <c r="H17" s="46" t="s">
        <v>2476</v>
      </c>
      <c r="I17" s="46" t="s">
        <v>2477</v>
      </c>
      <c r="J17" s="46" t="s">
        <v>2478</v>
      </c>
      <c r="K17" s="46" t="s">
        <v>2479</v>
      </c>
      <c r="L17" s="46" t="s">
        <v>2480</v>
      </c>
    </row>
    <row r="18" spans="2:12">
      <c r="B18" s="46" t="s">
        <v>590</v>
      </c>
      <c r="C18" s="46" t="s">
        <v>2481</v>
      </c>
      <c r="D18" s="46" t="s">
        <v>2482</v>
      </c>
      <c r="E18" s="46" t="s">
        <v>2483</v>
      </c>
      <c r="F18" s="46" t="s">
        <v>2484</v>
      </c>
      <c r="G18" s="46" t="s">
        <v>2485</v>
      </c>
      <c r="H18" s="46" t="s">
        <v>2486</v>
      </c>
      <c r="I18" s="46" t="s">
        <v>2487</v>
      </c>
      <c r="J18" s="46" t="s">
        <v>2488</v>
      </c>
      <c r="K18" s="46" t="s">
        <v>2489</v>
      </c>
      <c r="L18" s="46" t="s">
        <v>2490</v>
      </c>
    </row>
    <row r="19" spans="2:12">
      <c r="B19" s="46" t="s">
        <v>589</v>
      </c>
      <c r="C19" s="46" t="s">
        <v>2491</v>
      </c>
      <c r="D19" s="46" t="s">
        <v>2492</v>
      </c>
      <c r="E19" s="46" t="s">
        <v>2493</v>
      </c>
      <c r="F19" s="46" t="s">
        <v>2494</v>
      </c>
      <c r="G19" s="46" t="s">
        <v>2495</v>
      </c>
      <c r="H19" s="46" t="s">
        <v>2496</v>
      </c>
      <c r="I19" s="46" t="s">
        <v>2497</v>
      </c>
      <c r="J19" s="46" t="s">
        <v>2498</v>
      </c>
      <c r="K19" s="46" t="s">
        <v>2499</v>
      </c>
      <c r="L19" s="46" t="s">
        <v>2500</v>
      </c>
    </row>
    <row r="20" spans="2:12">
      <c r="B20" s="46" t="s">
        <v>588</v>
      </c>
      <c r="C20" s="46" t="s">
        <v>2501</v>
      </c>
      <c r="D20" s="46" t="s">
        <v>2502</v>
      </c>
      <c r="E20" s="46" t="s">
        <v>2503</v>
      </c>
      <c r="F20" s="46" t="s">
        <v>2504</v>
      </c>
      <c r="G20" s="46" t="s">
        <v>2505</v>
      </c>
      <c r="H20" s="46" t="s">
        <v>2506</v>
      </c>
      <c r="I20" s="46" t="s">
        <v>2507</v>
      </c>
      <c r="J20" s="46" t="s">
        <v>2508</v>
      </c>
      <c r="K20" s="46" t="s">
        <v>2509</v>
      </c>
      <c r="L20" s="46" t="s">
        <v>2510</v>
      </c>
    </row>
    <row r="21" spans="2:12">
      <c r="B21" s="46" t="s">
        <v>587</v>
      </c>
      <c r="C21" s="46" t="s">
        <v>2511</v>
      </c>
      <c r="D21" s="46" t="s">
        <v>2512</v>
      </c>
      <c r="E21" s="46" t="s">
        <v>2513</v>
      </c>
      <c r="F21" s="46" t="s">
        <v>2514</v>
      </c>
      <c r="G21" s="46" t="s">
        <v>2515</v>
      </c>
      <c r="H21" s="46" t="s">
        <v>2516</v>
      </c>
      <c r="I21" s="46" t="s">
        <v>2517</v>
      </c>
      <c r="J21" s="46" t="s">
        <v>2518</v>
      </c>
      <c r="K21" s="46" t="s">
        <v>2519</v>
      </c>
      <c r="L21" s="46" t="s">
        <v>2520</v>
      </c>
    </row>
    <row r="22" spans="2:12">
      <c r="B22" s="46" t="s">
        <v>586</v>
      </c>
      <c r="C22" s="46" t="s">
        <v>2521</v>
      </c>
      <c r="D22" s="46" t="s">
        <v>2522</v>
      </c>
      <c r="E22" s="46" t="s">
        <v>2523</v>
      </c>
      <c r="F22" s="46" t="s">
        <v>2524</v>
      </c>
      <c r="G22" s="46" t="s">
        <v>2525</v>
      </c>
      <c r="H22" s="46" t="s">
        <v>2526</v>
      </c>
      <c r="I22" s="46" t="s">
        <v>2527</v>
      </c>
      <c r="J22" s="46" t="s">
        <v>2528</v>
      </c>
      <c r="K22" s="46" t="s">
        <v>2529</v>
      </c>
      <c r="L22" s="46" t="s">
        <v>2530</v>
      </c>
    </row>
    <row r="23" spans="2:12">
      <c r="B23" s="46" t="s">
        <v>585</v>
      </c>
      <c r="C23" s="46" t="s">
        <v>2531</v>
      </c>
      <c r="D23" s="46" t="s">
        <v>2532</v>
      </c>
      <c r="E23" s="46" t="s">
        <v>1095</v>
      </c>
      <c r="F23" s="46" t="s">
        <v>2533</v>
      </c>
      <c r="G23" s="46" t="s">
        <v>2534</v>
      </c>
      <c r="H23" s="46" t="s">
        <v>2535</v>
      </c>
      <c r="I23" s="46" t="s">
        <v>2536</v>
      </c>
      <c r="J23" s="46" t="s">
        <v>2537</v>
      </c>
      <c r="K23" s="46" t="s">
        <v>2538</v>
      </c>
      <c r="L23" s="46" t="s">
        <v>2539</v>
      </c>
    </row>
    <row r="24" spans="2:12">
      <c r="B24" s="46" t="s">
        <v>584</v>
      </c>
      <c r="C24" s="46" t="s">
        <v>2540</v>
      </c>
      <c r="D24" s="46" t="s">
        <v>2541</v>
      </c>
      <c r="E24" s="46" t="s">
        <v>1095</v>
      </c>
      <c r="F24" s="46" t="s">
        <v>2542</v>
      </c>
      <c r="G24" s="46" t="s">
        <v>2543</v>
      </c>
      <c r="H24" s="46" t="s">
        <v>2544</v>
      </c>
      <c r="I24" s="46" t="s">
        <v>2545</v>
      </c>
      <c r="J24" s="46" t="s">
        <v>2546</v>
      </c>
      <c r="K24" s="46" t="s">
        <v>2547</v>
      </c>
      <c r="L24" s="46" t="s">
        <v>2548</v>
      </c>
    </row>
    <row r="25" spans="2:12">
      <c r="B25" s="46" t="s">
        <v>583</v>
      </c>
      <c r="C25" s="46" t="s">
        <v>2549</v>
      </c>
      <c r="D25" s="46" t="s">
        <v>2550</v>
      </c>
      <c r="E25" s="46" t="s">
        <v>2551</v>
      </c>
      <c r="F25" s="46" t="s">
        <v>2552</v>
      </c>
      <c r="G25" s="46" t="s">
        <v>2553</v>
      </c>
      <c r="H25" s="46" t="s">
        <v>2554</v>
      </c>
      <c r="I25" s="46" t="s">
        <v>2555</v>
      </c>
      <c r="J25" s="46" t="s">
        <v>2556</v>
      </c>
      <c r="K25" s="46" t="s">
        <v>2557</v>
      </c>
      <c r="L25" s="46" t="s">
        <v>2558</v>
      </c>
    </row>
    <row r="26" spans="2:12">
      <c r="B26" s="46" t="s">
        <v>582</v>
      </c>
      <c r="C26" s="46" t="s">
        <v>2559</v>
      </c>
      <c r="D26" s="46" t="s">
        <v>2560</v>
      </c>
      <c r="E26" s="46" t="s">
        <v>2561</v>
      </c>
      <c r="F26" s="46" t="s">
        <v>2562</v>
      </c>
      <c r="G26" s="46" t="s">
        <v>2563</v>
      </c>
      <c r="H26" s="46" t="s">
        <v>2564</v>
      </c>
      <c r="I26" s="46" t="s">
        <v>2565</v>
      </c>
      <c r="J26" s="46" t="s">
        <v>2566</v>
      </c>
      <c r="K26" s="46" t="s">
        <v>2567</v>
      </c>
      <c r="L26" s="46" t="s">
        <v>2568</v>
      </c>
    </row>
    <row r="27" spans="2:12">
      <c r="B27" s="46" t="s">
        <v>581</v>
      </c>
      <c r="C27" s="46" t="s">
        <v>2569</v>
      </c>
      <c r="D27" s="46" t="s">
        <v>2570</v>
      </c>
      <c r="E27" s="46" t="s">
        <v>2571</v>
      </c>
      <c r="F27" s="46" t="s">
        <v>2572</v>
      </c>
      <c r="G27" s="46" t="s">
        <v>2573</v>
      </c>
      <c r="H27" s="46" t="s">
        <v>2574</v>
      </c>
      <c r="I27" s="46" t="s">
        <v>2575</v>
      </c>
      <c r="J27" s="46" t="s">
        <v>2576</v>
      </c>
      <c r="K27" s="46" t="s">
        <v>2577</v>
      </c>
      <c r="L27" s="46" t="s">
        <v>2578</v>
      </c>
    </row>
    <row r="28" spans="2:12">
      <c r="B28" s="46" t="s">
        <v>580</v>
      </c>
      <c r="C28" s="46" t="s">
        <v>2579</v>
      </c>
      <c r="D28" s="46" t="s">
        <v>2580</v>
      </c>
      <c r="E28" s="46" t="s">
        <v>2581</v>
      </c>
      <c r="F28" s="46" t="s">
        <v>2582</v>
      </c>
      <c r="G28" s="46" t="s">
        <v>2583</v>
      </c>
      <c r="H28" s="46" t="s">
        <v>2584</v>
      </c>
      <c r="I28" s="46" t="s">
        <v>2585</v>
      </c>
      <c r="J28" s="46" t="s">
        <v>2586</v>
      </c>
      <c r="K28" s="46" t="s">
        <v>2587</v>
      </c>
      <c r="L28" s="46" t="s">
        <v>2588</v>
      </c>
    </row>
    <row r="29" spans="2:12">
      <c r="B29" s="46" t="s">
        <v>579</v>
      </c>
      <c r="C29" s="46" t="s">
        <v>2589</v>
      </c>
      <c r="D29" s="46" t="s">
        <v>2590</v>
      </c>
      <c r="E29" s="46" t="s">
        <v>2591</v>
      </c>
      <c r="F29" s="46" t="s">
        <v>2592</v>
      </c>
      <c r="G29" s="46" t="s">
        <v>2593</v>
      </c>
      <c r="H29" s="46" t="s">
        <v>2594</v>
      </c>
      <c r="I29" s="46" t="s">
        <v>2595</v>
      </c>
      <c r="J29" s="46" t="s">
        <v>2596</v>
      </c>
      <c r="K29" s="46" t="s">
        <v>2597</v>
      </c>
      <c r="L29" s="46" t="s">
        <v>2598</v>
      </c>
    </row>
    <row r="30" spans="2:12">
      <c r="B30" s="46" t="s">
        <v>578</v>
      </c>
      <c r="C30" s="46" t="s">
        <v>2599</v>
      </c>
      <c r="D30" s="46" t="s">
        <v>2600</v>
      </c>
      <c r="E30" s="46" t="s">
        <v>2601</v>
      </c>
      <c r="F30" s="46" t="s">
        <v>2602</v>
      </c>
      <c r="G30" s="46" t="s">
        <v>2603</v>
      </c>
      <c r="H30" s="46" t="s">
        <v>2604</v>
      </c>
      <c r="I30" s="46" t="s">
        <v>2605</v>
      </c>
      <c r="J30" s="46" t="s">
        <v>2606</v>
      </c>
      <c r="K30" s="46" t="s">
        <v>2607</v>
      </c>
      <c r="L30" s="46" t="s">
        <v>2608</v>
      </c>
    </row>
    <row r="31" spans="2:12">
      <c r="B31" s="46" t="s">
        <v>577</v>
      </c>
      <c r="C31" s="46" t="s">
        <v>2609</v>
      </c>
      <c r="D31" s="46" t="s">
        <v>2610</v>
      </c>
      <c r="E31" s="46" t="s">
        <v>2611</v>
      </c>
      <c r="F31" s="46" t="s">
        <v>2612</v>
      </c>
      <c r="G31" s="46" t="s">
        <v>2613</v>
      </c>
      <c r="H31" s="46" t="s">
        <v>2614</v>
      </c>
      <c r="I31" s="46" t="s">
        <v>2615</v>
      </c>
      <c r="J31" s="46" t="s">
        <v>2616</v>
      </c>
      <c r="K31" s="46" t="s">
        <v>2617</v>
      </c>
      <c r="L31" s="46" t="s">
        <v>2618</v>
      </c>
    </row>
    <row r="32" spans="2:12">
      <c r="B32" s="46" t="s">
        <v>576</v>
      </c>
      <c r="C32" s="46" t="s">
        <v>2619</v>
      </c>
      <c r="D32" s="46" t="s">
        <v>2620</v>
      </c>
      <c r="E32" s="46" t="s">
        <v>2621</v>
      </c>
      <c r="F32" s="46" t="s">
        <v>2622</v>
      </c>
      <c r="G32" s="46" t="s">
        <v>2623</v>
      </c>
      <c r="H32" s="46" t="s">
        <v>2624</v>
      </c>
      <c r="I32" s="46" t="s">
        <v>2625</v>
      </c>
      <c r="J32" s="46" t="s">
        <v>2626</v>
      </c>
      <c r="K32" s="46" t="s">
        <v>2627</v>
      </c>
      <c r="L32" s="46" t="s">
        <v>2628</v>
      </c>
    </row>
    <row r="33" spans="2:12">
      <c r="B33" s="46" t="s">
        <v>575</v>
      </c>
      <c r="C33" s="46" t="s">
        <v>2629</v>
      </c>
      <c r="D33" s="46" t="s">
        <v>2630</v>
      </c>
      <c r="E33" s="46" t="s">
        <v>2631</v>
      </c>
      <c r="F33" s="46" t="s">
        <v>2632</v>
      </c>
      <c r="G33" s="46" t="s">
        <v>2633</v>
      </c>
      <c r="H33" s="46" t="s">
        <v>2634</v>
      </c>
      <c r="I33" s="46" t="s">
        <v>2635</v>
      </c>
      <c r="J33" s="46" t="s">
        <v>2636</v>
      </c>
      <c r="K33" s="46" t="s">
        <v>2637</v>
      </c>
      <c r="L33" s="46" t="s">
        <v>2638</v>
      </c>
    </row>
    <row r="34" spans="2:12">
      <c r="B34" s="46" t="s">
        <v>574</v>
      </c>
      <c r="C34" s="46" t="s">
        <v>2639</v>
      </c>
      <c r="D34" s="46" t="s">
        <v>2640</v>
      </c>
      <c r="E34" s="46" t="s">
        <v>2641</v>
      </c>
      <c r="F34" s="46" t="s">
        <v>2642</v>
      </c>
      <c r="G34" s="46" t="s">
        <v>2643</v>
      </c>
      <c r="H34" s="46" t="s">
        <v>2644</v>
      </c>
      <c r="I34" s="46" t="s">
        <v>2645</v>
      </c>
      <c r="J34" s="46" t="s">
        <v>2646</v>
      </c>
      <c r="K34" s="46" t="s">
        <v>2647</v>
      </c>
      <c r="L34" s="46" t="s">
        <v>2648</v>
      </c>
    </row>
    <row r="35" spans="2:12">
      <c r="B35" s="46" t="s">
        <v>573</v>
      </c>
      <c r="C35" s="46" t="s">
        <v>2649</v>
      </c>
      <c r="D35" s="46" t="s">
        <v>2650</v>
      </c>
      <c r="E35" s="46" t="s">
        <v>2651</v>
      </c>
      <c r="F35" s="46" t="s">
        <v>2652</v>
      </c>
      <c r="G35" s="46" t="s">
        <v>2653</v>
      </c>
      <c r="H35" s="46" t="s">
        <v>2654</v>
      </c>
      <c r="I35" s="46" t="s">
        <v>2655</v>
      </c>
      <c r="J35" s="46" t="s">
        <v>2656</v>
      </c>
      <c r="K35" s="46" t="s">
        <v>2657</v>
      </c>
      <c r="L35" s="46" t="s">
        <v>2658</v>
      </c>
    </row>
    <row r="36" spans="2:12">
      <c r="B36" s="46" t="s">
        <v>572</v>
      </c>
      <c r="C36" s="46" t="s">
        <v>2659</v>
      </c>
      <c r="D36" s="46" t="s">
        <v>2660</v>
      </c>
      <c r="E36" s="46" t="s">
        <v>2661</v>
      </c>
      <c r="F36" s="46" t="s">
        <v>2662</v>
      </c>
      <c r="G36" s="46" t="s">
        <v>2663</v>
      </c>
      <c r="H36" s="46" t="s">
        <v>2664</v>
      </c>
      <c r="I36" s="46" t="s">
        <v>2665</v>
      </c>
      <c r="J36" s="46" t="s">
        <v>2666</v>
      </c>
      <c r="K36" s="46" t="s">
        <v>2667</v>
      </c>
      <c r="L36" s="46" t="s">
        <v>2668</v>
      </c>
    </row>
    <row r="37" spans="2:12">
      <c r="B37" s="46" t="s">
        <v>571</v>
      </c>
      <c r="C37" s="46" t="s">
        <v>2669</v>
      </c>
      <c r="D37" s="46" t="s">
        <v>2670</v>
      </c>
      <c r="E37" s="46" t="s">
        <v>2671</v>
      </c>
      <c r="F37" s="46" t="s">
        <v>2672</v>
      </c>
      <c r="G37" s="46" t="s">
        <v>2673</v>
      </c>
      <c r="H37" s="46" t="s">
        <v>2674</v>
      </c>
      <c r="I37" s="46" t="s">
        <v>2675</v>
      </c>
      <c r="J37" s="46" t="s">
        <v>2676</v>
      </c>
      <c r="K37" s="46" t="s">
        <v>2677</v>
      </c>
      <c r="L37" s="46" t="s">
        <v>2678</v>
      </c>
    </row>
    <row r="38" spans="2:12">
      <c r="B38" s="46" t="s">
        <v>570</v>
      </c>
      <c r="C38" s="46" t="s">
        <v>2679</v>
      </c>
      <c r="D38" s="46" t="s">
        <v>2680</v>
      </c>
      <c r="E38" s="46" t="s">
        <v>2681</v>
      </c>
      <c r="F38" s="46" t="s">
        <v>2682</v>
      </c>
      <c r="G38" s="46" t="s">
        <v>2683</v>
      </c>
      <c r="H38" s="46" t="s">
        <v>2684</v>
      </c>
      <c r="I38" s="46" t="s">
        <v>2685</v>
      </c>
      <c r="J38" s="46" t="s">
        <v>2686</v>
      </c>
      <c r="K38" s="46" t="s">
        <v>2687</v>
      </c>
      <c r="L38" s="46" t="s">
        <v>2688</v>
      </c>
    </row>
    <row r="39" spans="2:12">
      <c r="B39" s="46" t="s">
        <v>569</v>
      </c>
      <c r="C39" s="46" t="s">
        <v>2689</v>
      </c>
      <c r="D39" s="46" t="s">
        <v>2690</v>
      </c>
      <c r="E39" s="46" t="s">
        <v>2691</v>
      </c>
      <c r="F39" s="46" t="s">
        <v>2692</v>
      </c>
      <c r="G39" s="46" t="s">
        <v>2693</v>
      </c>
      <c r="H39" s="46" t="s">
        <v>2694</v>
      </c>
      <c r="I39" s="46" t="s">
        <v>2695</v>
      </c>
      <c r="J39" s="46" t="s">
        <v>2696</v>
      </c>
      <c r="K39" s="46" t="s">
        <v>2697</v>
      </c>
      <c r="L39" s="46" t="s">
        <v>2698</v>
      </c>
    </row>
    <row r="40" spans="2:12">
      <c r="B40" s="46" t="s">
        <v>568</v>
      </c>
      <c r="C40" s="46" t="s">
        <v>2699</v>
      </c>
      <c r="D40" s="46" t="s">
        <v>2700</v>
      </c>
      <c r="E40" s="46" t="s">
        <v>2701</v>
      </c>
      <c r="F40" s="46" t="s">
        <v>2702</v>
      </c>
      <c r="G40" s="46" t="s">
        <v>2703</v>
      </c>
      <c r="H40" s="46" t="s">
        <v>2704</v>
      </c>
      <c r="I40" s="46" t="s">
        <v>2705</v>
      </c>
      <c r="J40" s="46" t="s">
        <v>2706</v>
      </c>
      <c r="K40" s="46" t="s">
        <v>2707</v>
      </c>
      <c r="L40" s="46" t="s">
        <v>2708</v>
      </c>
    </row>
    <row r="41" spans="2:12">
      <c r="B41" s="46" t="s">
        <v>567</v>
      </c>
      <c r="C41" s="46" t="s">
        <v>2709</v>
      </c>
      <c r="D41" s="46" t="s">
        <v>2710</v>
      </c>
      <c r="E41" s="46" t="s">
        <v>2711</v>
      </c>
      <c r="F41" s="46" t="s">
        <v>2712</v>
      </c>
      <c r="G41" s="46" t="s">
        <v>2713</v>
      </c>
      <c r="H41" s="46" t="s">
        <v>2714</v>
      </c>
      <c r="I41" s="46" t="s">
        <v>2715</v>
      </c>
      <c r="J41" s="46" t="s">
        <v>2716</v>
      </c>
      <c r="K41" s="46" t="s">
        <v>2717</v>
      </c>
      <c r="L41" s="46" t="s">
        <v>2718</v>
      </c>
    </row>
    <row r="42" spans="2:12">
      <c r="B42" s="46" t="s">
        <v>566</v>
      </c>
      <c r="C42" s="46" t="s">
        <v>2719</v>
      </c>
      <c r="D42" s="46" t="s">
        <v>2720</v>
      </c>
      <c r="E42" s="46" t="s">
        <v>2721</v>
      </c>
      <c r="F42" s="46" t="s">
        <v>2722</v>
      </c>
      <c r="G42" s="46" t="s">
        <v>2723</v>
      </c>
      <c r="H42" s="46" t="s">
        <v>2724</v>
      </c>
      <c r="I42" s="46" t="s">
        <v>2725</v>
      </c>
      <c r="J42" s="46" t="s">
        <v>2726</v>
      </c>
      <c r="K42" s="46" t="s">
        <v>2727</v>
      </c>
      <c r="L42" s="46" t="s">
        <v>2728</v>
      </c>
    </row>
    <row r="43" spans="2:12">
      <c r="B43" s="46" t="s">
        <v>565</v>
      </c>
      <c r="C43" s="46" t="s">
        <v>2729</v>
      </c>
      <c r="D43" s="46" t="s">
        <v>2730</v>
      </c>
      <c r="E43" s="46" t="s">
        <v>2731</v>
      </c>
      <c r="F43" s="46" t="s">
        <v>2732</v>
      </c>
      <c r="G43" s="46" t="s">
        <v>2733</v>
      </c>
      <c r="H43" s="46" t="s">
        <v>2734</v>
      </c>
      <c r="I43" s="46" t="s">
        <v>2735</v>
      </c>
      <c r="J43" s="46" t="s">
        <v>2736</v>
      </c>
      <c r="K43" s="46" t="s">
        <v>2737</v>
      </c>
      <c r="L43" s="46" t="s">
        <v>2738</v>
      </c>
    </row>
    <row r="44" spans="2:12">
      <c r="B44" s="46" t="s">
        <v>564</v>
      </c>
      <c r="C44" s="46" t="s">
        <v>2739</v>
      </c>
      <c r="D44" s="46" t="s">
        <v>2740</v>
      </c>
      <c r="E44" s="46" t="s">
        <v>2741</v>
      </c>
      <c r="F44" s="46" t="s">
        <v>2742</v>
      </c>
      <c r="G44" s="46" t="s">
        <v>2743</v>
      </c>
      <c r="H44" s="46" t="s">
        <v>2744</v>
      </c>
      <c r="I44" s="46" t="s">
        <v>2745</v>
      </c>
      <c r="J44" s="46" t="s">
        <v>2746</v>
      </c>
      <c r="K44" s="46" t="s">
        <v>2747</v>
      </c>
      <c r="L44" s="46" t="s">
        <v>2748</v>
      </c>
    </row>
    <row r="45" spans="2:12">
      <c r="B45" s="46" t="s">
        <v>563</v>
      </c>
      <c r="C45" s="46" t="s">
        <v>2749</v>
      </c>
      <c r="D45" s="46" t="s">
        <v>2750</v>
      </c>
      <c r="E45" s="46" t="s">
        <v>2751</v>
      </c>
      <c r="F45" s="46" t="s">
        <v>2752</v>
      </c>
      <c r="G45" s="46" t="s">
        <v>2753</v>
      </c>
      <c r="H45" s="46" t="s">
        <v>2754</v>
      </c>
      <c r="I45" s="46" t="s">
        <v>2755</v>
      </c>
      <c r="J45" s="46" t="s">
        <v>2756</v>
      </c>
      <c r="K45" s="46" t="s">
        <v>2757</v>
      </c>
      <c r="L45" s="46" t="s">
        <v>2758</v>
      </c>
    </row>
    <row r="46" spans="2:12">
      <c r="B46" s="46" t="s">
        <v>562</v>
      </c>
      <c r="C46" s="46" t="s">
        <v>2759</v>
      </c>
      <c r="D46" s="46" t="s">
        <v>2760</v>
      </c>
      <c r="E46" s="46" t="s">
        <v>2761</v>
      </c>
      <c r="F46" s="46" t="s">
        <v>2762</v>
      </c>
      <c r="G46" s="46" t="s">
        <v>2763</v>
      </c>
      <c r="H46" s="46" t="s">
        <v>2764</v>
      </c>
      <c r="I46" s="46" t="s">
        <v>2765</v>
      </c>
      <c r="J46" s="46" t="s">
        <v>2766</v>
      </c>
      <c r="K46" s="46" t="s">
        <v>2767</v>
      </c>
      <c r="L46" s="46" t="s">
        <v>2768</v>
      </c>
    </row>
    <row r="47" spans="2:12">
      <c r="B47" s="46" t="s">
        <v>561</v>
      </c>
      <c r="C47" s="46" t="s">
        <v>2769</v>
      </c>
      <c r="D47" s="46" t="s">
        <v>2770</v>
      </c>
      <c r="E47" s="46" t="s">
        <v>2771</v>
      </c>
      <c r="F47" s="46" t="s">
        <v>2772</v>
      </c>
      <c r="G47" s="46" t="s">
        <v>2773</v>
      </c>
      <c r="H47" s="46" t="s">
        <v>2774</v>
      </c>
      <c r="I47" s="46" t="s">
        <v>2775</v>
      </c>
      <c r="J47" s="46" t="s">
        <v>2776</v>
      </c>
      <c r="K47" s="46" t="s">
        <v>2777</v>
      </c>
      <c r="L47" s="46" t="s">
        <v>2778</v>
      </c>
    </row>
    <row r="48" spans="2:12">
      <c r="B48" s="46" t="s">
        <v>560</v>
      </c>
      <c r="C48" s="46" t="s">
        <v>2779</v>
      </c>
      <c r="D48" s="46" t="s">
        <v>2780</v>
      </c>
      <c r="E48" s="46" t="s">
        <v>2781</v>
      </c>
      <c r="F48" s="46" t="s">
        <v>2782</v>
      </c>
      <c r="G48" s="46" t="s">
        <v>2783</v>
      </c>
      <c r="H48" s="46" t="s">
        <v>2784</v>
      </c>
      <c r="I48" s="46" t="s">
        <v>2785</v>
      </c>
      <c r="J48" s="46" t="s">
        <v>2786</v>
      </c>
      <c r="K48" s="46" t="s">
        <v>2787</v>
      </c>
      <c r="L48" s="46" t="s">
        <v>2788</v>
      </c>
    </row>
    <row r="49" spans="2:12">
      <c r="B49" s="46" t="s">
        <v>559</v>
      </c>
      <c r="C49" s="46" t="s">
        <v>2789</v>
      </c>
      <c r="D49" s="46" t="s">
        <v>2790</v>
      </c>
      <c r="E49" s="46" t="s">
        <v>2791</v>
      </c>
      <c r="F49" s="46" t="s">
        <v>2792</v>
      </c>
      <c r="G49" s="46" t="s">
        <v>2793</v>
      </c>
      <c r="H49" s="46" t="s">
        <v>2794</v>
      </c>
      <c r="I49" s="46" t="s">
        <v>2795</v>
      </c>
      <c r="J49" s="46" t="s">
        <v>2796</v>
      </c>
      <c r="K49" s="46" t="s">
        <v>2797</v>
      </c>
      <c r="L49" s="46" t="s">
        <v>2798</v>
      </c>
    </row>
    <row r="50" spans="2:12">
      <c r="B50" s="46" t="s">
        <v>558</v>
      </c>
      <c r="C50" s="46" t="s">
        <v>2799</v>
      </c>
      <c r="D50" s="46" t="s">
        <v>2800</v>
      </c>
      <c r="E50" s="46" t="s">
        <v>2801</v>
      </c>
      <c r="F50" s="46" t="s">
        <v>2802</v>
      </c>
      <c r="G50" s="46" t="s">
        <v>2803</v>
      </c>
      <c r="H50" s="46" t="s">
        <v>2804</v>
      </c>
      <c r="I50" s="46" t="s">
        <v>2805</v>
      </c>
      <c r="J50" s="46" t="s">
        <v>2806</v>
      </c>
      <c r="K50" s="46" t="s">
        <v>2807</v>
      </c>
      <c r="L50" s="46" t="s">
        <v>2808</v>
      </c>
    </row>
    <row r="51" spans="2:12">
      <c r="B51" s="46" t="s">
        <v>557</v>
      </c>
      <c r="C51" s="46" t="s">
        <v>2809</v>
      </c>
      <c r="D51" s="46" t="s">
        <v>2810</v>
      </c>
      <c r="E51" s="46" t="s">
        <v>2811</v>
      </c>
      <c r="F51" s="46" t="s">
        <v>2812</v>
      </c>
      <c r="G51" s="46" t="s">
        <v>2813</v>
      </c>
      <c r="H51" s="46" t="s">
        <v>2814</v>
      </c>
      <c r="I51" s="46" t="s">
        <v>2815</v>
      </c>
      <c r="J51" s="46" t="s">
        <v>2816</v>
      </c>
      <c r="K51" s="46" t="s">
        <v>2817</v>
      </c>
      <c r="L51" s="46" t="s">
        <v>2818</v>
      </c>
    </row>
    <row r="52" spans="2:12">
      <c r="B52" s="46" t="s">
        <v>556</v>
      </c>
      <c r="C52" s="46" t="s">
        <v>2819</v>
      </c>
      <c r="D52" s="46" t="s">
        <v>2820</v>
      </c>
      <c r="E52" s="46" t="s">
        <v>2821</v>
      </c>
      <c r="F52" s="46" t="s">
        <v>2822</v>
      </c>
      <c r="G52" s="46" t="s">
        <v>2823</v>
      </c>
      <c r="H52" s="46" t="s">
        <v>2824</v>
      </c>
      <c r="I52" s="46" t="s">
        <v>2825</v>
      </c>
      <c r="J52" s="46" t="s">
        <v>2826</v>
      </c>
      <c r="K52" s="46" t="s">
        <v>2827</v>
      </c>
      <c r="L52" s="46" t="s">
        <v>2828</v>
      </c>
    </row>
    <row r="53" spans="2:12">
      <c r="B53" s="46" t="s">
        <v>555</v>
      </c>
      <c r="C53" s="46" t="s">
        <v>2829</v>
      </c>
      <c r="D53" s="46" t="s">
        <v>2830</v>
      </c>
      <c r="E53" s="46" t="s">
        <v>2831</v>
      </c>
      <c r="F53" s="46" t="s">
        <v>2832</v>
      </c>
      <c r="G53" s="46" t="s">
        <v>2833</v>
      </c>
      <c r="H53" s="46" t="s">
        <v>2834</v>
      </c>
      <c r="I53" s="46" t="s">
        <v>2835</v>
      </c>
      <c r="J53" s="46" t="s">
        <v>2836</v>
      </c>
      <c r="K53" s="46" t="s">
        <v>2837</v>
      </c>
      <c r="L53" s="46" t="s">
        <v>2838</v>
      </c>
    </row>
    <row r="54" spans="2:12">
      <c r="B54" s="46" t="s">
        <v>554</v>
      </c>
      <c r="C54" s="46" t="s">
        <v>2839</v>
      </c>
      <c r="D54" s="46" t="s">
        <v>2840</v>
      </c>
      <c r="E54" s="46" t="s">
        <v>2841</v>
      </c>
      <c r="F54" s="46" t="s">
        <v>2842</v>
      </c>
      <c r="G54" s="46" t="s">
        <v>2843</v>
      </c>
      <c r="H54" s="46" t="s">
        <v>2844</v>
      </c>
      <c r="I54" s="46" t="s">
        <v>2845</v>
      </c>
      <c r="J54" s="46" t="s">
        <v>2846</v>
      </c>
      <c r="K54" s="46" t="s">
        <v>2847</v>
      </c>
      <c r="L54" s="46" t="s">
        <v>2848</v>
      </c>
    </row>
    <row r="55" spans="2:12">
      <c r="B55" s="46" t="s">
        <v>553</v>
      </c>
      <c r="C55" s="46" t="s">
        <v>2849</v>
      </c>
      <c r="D55" s="46" t="s">
        <v>2850</v>
      </c>
      <c r="E55" s="46" t="s">
        <v>2851</v>
      </c>
      <c r="F55" s="46" t="s">
        <v>2852</v>
      </c>
      <c r="G55" s="46" t="s">
        <v>2853</v>
      </c>
      <c r="H55" s="46" t="s">
        <v>2854</v>
      </c>
      <c r="I55" s="46" t="s">
        <v>2855</v>
      </c>
      <c r="J55" s="46" t="s">
        <v>2856</v>
      </c>
      <c r="K55" s="46" t="s">
        <v>2857</v>
      </c>
      <c r="L55" s="46" t="s">
        <v>2858</v>
      </c>
    </row>
    <row r="56" spans="2:12">
      <c r="B56" s="46" t="s">
        <v>552</v>
      </c>
      <c r="C56" s="46" t="s">
        <v>2859</v>
      </c>
      <c r="D56" s="46" t="s">
        <v>2860</v>
      </c>
      <c r="E56" s="46" t="s">
        <v>2861</v>
      </c>
      <c r="F56" s="46" t="s">
        <v>2862</v>
      </c>
      <c r="G56" s="46" t="s">
        <v>2863</v>
      </c>
      <c r="H56" s="46" t="s">
        <v>2864</v>
      </c>
      <c r="I56" s="46" t="s">
        <v>2865</v>
      </c>
      <c r="J56" s="46" t="s">
        <v>2866</v>
      </c>
      <c r="K56" s="46" t="s">
        <v>2867</v>
      </c>
      <c r="L56" s="46" t="s">
        <v>2868</v>
      </c>
    </row>
    <row r="57" spans="2:12">
      <c r="B57" s="46" t="s">
        <v>551</v>
      </c>
      <c r="C57" s="46" t="s">
        <v>2869</v>
      </c>
      <c r="D57" s="46" t="s">
        <v>2870</v>
      </c>
      <c r="E57" s="46" t="s">
        <v>2871</v>
      </c>
      <c r="F57" s="46" t="s">
        <v>2872</v>
      </c>
      <c r="G57" s="46" t="s">
        <v>2873</v>
      </c>
      <c r="H57" s="46" t="s">
        <v>2874</v>
      </c>
      <c r="I57" s="46" t="s">
        <v>2875</v>
      </c>
      <c r="J57" s="46" t="s">
        <v>2876</v>
      </c>
      <c r="K57" s="46" t="s">
        <v>2877</v>
      </c>
      <c r="L57" s="46" t="s">
        <v>2878</v>
      </c>
    </row>
    <row r="58" spans="2:12">
      <c r="B58" s="46" t="s">
        <v>550</v>
      </c>
      <c r="C58" s="46" t="s">
        <v>2879</v>
      </c>
      <c r="D58" s="46" t="s">
        <v>2880</v>
      </c>
      <c r="E58" s="46" t="s">
        <v>2881</v>
      </c>
      <c r="F58" s="46" t="s">
        <v>2882</v>
      </c>
      <c r="G58" s="46" t="s">
        <v>2883</v>
      </c>
      <c r="H58" s="46" t="s">
        <v>2884</v>
      </c>
      <c r="I58" s="46" t="s">
        <v>2885</v>
      </c>
      <c r="J58" s="46" t="s">
        <v>2886</v>
      </c>
      <c r="K58" s="46" t="s">
        <v>2887</v>
      </c>
      <c r="L58" s="46" t="s">
        <v>2888</v>
      </c>
    </row>
    <row r="59" spans="2:12">
      <c r="B59" s="46" t="s">
        <v>549</v>
      </c>
      <c r="C59" s="46" t="s">
        <v>2889</v>
      </c>
      <c r="D59" s="46" t="s">
        <v>2890</v>
      </c>
      <c r="E59" s="46" t="s">
        <v>2891</v>
      </c>
      <c r="F59" s="46" t="s">
        <v>2892</v>
      </c>
      <c r="G59" s="46" t="s">
        <v>2893</v>
      </c>
      <c r="H59" s="46" t="s">
        <v>2894</v>
      </c>
      <c r="I59" s="46" t="s">
        <v>2895</v>
      </c>
      <c r="J59" s="46" t="s">
        <v>2896</v>
      </c>
      <c r="K59" s="46" t="s">
        <v>2897</v>
      </c>
      <c r="L59" s="46" t="s">
        <v>2898</v>
      </c>
    </row>
    <row r="60" spans="2:12">
      <c r="B60" s="46" t="s">
        <v>548</v>
      </c>
      <c r="C60" s="46" t="s">
        <v>2899</v>
      </c>
      <c r="D60" s="46" t="s">
        <v>2900</v>
      </c>
      <c r="E60" s="46" t="s">
        <v>1095</v>
      </c>
      <c r="F60" s="46" t="s">
        <v>2901</v>
      </c>
      <c r="G60" s="46" t="s">
        <v>2902</v>
      </c>
      <c r="H60" s="46" t="s">
        <v>2903</v>
      </c>
      <c r="I60" s="46" t="s">
        <v>2904</v>
      </c>
      <c r="J60" s="46" t="s">
        <v>2905</v>
      </c>
      <c r="K60" s="46" t="s">
        <v>2906</v>
      </c>
      <c r="L60" s="46" t="s">
        <v>2907</v>
      </c>
    </row>
    <row r="61" spans="2:12">
      <c r="B61" s="46" t="s">
        <v>547</v>
      </c>
      <c r="C61" s="46" t="s">
        <v>2908</v>
      </c>
      <c r="D61" s="46" t="s">
        <v>2909</v>
      </c>
      <c r="E61" s="46" t="s">
        <v>2910</v>
      </c>
      <c r="F61" s="46" t="s">
        <v>2911</v>
      </c>
      <c r="G61" s="46" t="s">
        <v>2912</v>
      </c>
      <c r="H61" s="46" t="s">
        <v>2913</v>
      </c>
      <c r="I61" s="46" t="s">
        <v>2914</v>
      </c>
      <c r="J61" s="46" t="s">
        <v>2915</v>
      </c>
      <c r="K61" s="46" t="s">
        <v>2916</v>
      </c>
      <c r="L61" s="46" t="s">
        <v>2917</v>
      </c>
    </row>
    <row r="62" spans="2:12">
      <c r="B62" s="46" t="s">
        <v>546</v>
      </c>
      <c r="C62" s="46" t="s">
        <v>2918</v>
      </c>
      <c r="D62" s="46" t="s">
        <v>2919</v>
      </c>
      <c r="E62" s="46" t="s">
        <v>1095</v>
      </c>
      <c r="F62" s="46" t="s">
        <v>2920</v>
      </c>
      <c r="G62" s="46" t="s">
        <v>2921</v>
      </c>
      <c r="H62" s="46" t="s">
        <v>2922</v>
      </c>
      <c r="I62" s="46" t="s">
        <v>2923</v>
      </c>
      <c r="J62" s="46" t="s">
        <v>2924</v>
      </c>
      <c r="K62" s="46" t="s">
        <v>2925</v>
      </c>
      <c r="L62" s="46" t="s">
        <v>2926</v>
      </c>
    </row>
    <row r="63" spans="2:12">
      <c r="B63" s="46" t="s">
        <v>545</v>
      </c>
      <c r="C63" s="46" t="s">
        <v>2927</v>
      </c>
      <c r="D63" s="46" t="s">
        <v>2928</v>
      </c>
      <c r="E63" s="46" t="s">
        <v>2929</v>
      </c>
      <c r="F63" s="46" t="s">
        <v>2930</v>
      </c>
      <c r="G63" s="46" t="s">
        <v>2931</v>
      </c>
      <c r="H63" s="46" t="s">
        <v>2932</v>
      </c>
      <c r="I63" s="46" t="s">
        <v>2933</v>
      </c>
      <c r="J63" s="46" t="s">
        <v>2934</v>
      </c>
      <c r="K63" s="46" t="s">
        <v>2935</v>
      </c>
      <c r="L63" s="46" t="s">
        <v>2936</v>
      </c>
    </row>
    <row r="64" spans="2:12">
      <c r="B64" s="46" t="s">
        <v>544</v>
      </c>
      <c r="C64" s="46" t="s">
        <v>2937</v>
      </c>
      <c r="D64" s="46" t="s">
        <v>2938</v>
      </c>
      <c r="E64" s="46" t="s">
        <v>2939</v>
      </c>
      <c r="F64" s="46" t="s">
        <v>2940</v>
      </c>
      <c r="G64" s="46" t="s">
        <v>2941</v>
      </c>
      <c r="H64" s="46" t="s">
        <v>2942</v>
      </c>
      <c r="I64" s="46" t="s">
        <v>2943</v>
      </c>
      <c r="J64" s="46" t="s">
        <v>2944</v>
      </c>
      <c r="K64" s="46" t="s">
        <v>2945</v>
      </c>
      <c r="L64" s="46" t="s">
        <v>2946</v>
      </c>
    </row>
    <row r="65" spans="2:12">
      <c r="B65" s="46" t="s">
        <v>543</v>
      </c>
      <c r="C65" s="46" t="s">
        <v>2947</v>
      </c>
      <c r="D65" s="46" t="s">
        <v>2948</v>
      </c>
      <c r="E65" s="46" t="s">
        <v>2949</v>
      </c>
      <c r="F65" s="46" t="s">
        <v>2950</v>
      </c>
      <c r="G65" s="46" t="s">
        <v>2951</v>
      </c>
      <c r="H65" s="46" t="s">
        <v>2952</v>
      </c>
      <c r="I65" s="46" t="s">
        <v>2953</v>
      </c>
      <c r="J65" s="46" t="s">
        <v>2954</v>
      </c>
      <c r="K65" s="46" t="s">
        <v>2955</v>
      </c>
      <c r="L65" s="46" t="s">
        <v>2956</v>
      </c>
    </row>
    <row r="66" spans="2:12">
      <c r="B66" s="46" t="s">
        <v>542</v>
      </c>
      <c r="C66" s="46" t="s">
        <v>2957</v>
      </c>
      <c r="D66" s="46" t="s">
        <v>2958</v>
      </c>
      <c r="E66" s="46" t="s">
        <v>2959</v>
      </c>
      <c r="F66" s="46" t="s">
        <v>2960</v>
      </c>
      <c r="G66" s="46" t="s">
        <v>2961</v>
      </c>
      <c r="H66" s="46" t="s">
        <v>2962</v>
      </c>
      <c r="I66" s="46" t="s">
        <v>2963</v>
      </c>
      <c r="J66" s="46" t="s">
        <v>2964</v>
      </c>
      <c r="K66" s="46" t="s">
        <v>2965</v>
      </c>
      <c r="L66" s="46" t="s">
        <v>2966</v>
      </c>
    </row>
    <row r="67" spans="2:12">
      <c r="B67" s="46" t="s">
        <v>541</v>
      </c>
      <c r="C67" s="46" t="s">
        <v>2967</v>
      </c>
      <c r="D67" s="46" t="s">
        <v>2968</v>
      </c>
      <c r="E67" s="46" t="s">
        <v>2969</v>
      </c>
      <c r="F67" s="46" t="s">
        <v>2970</v>
      </c>
      <c r="G67" s="46" t="s">
        <v>2971</v>
      </c>
      <c r="H67" s="46" t="s">
        <v>2972</v>
      </c>
      <c r="I67" s="46" t="s">
        <v>2973</v>
      </c>
      <c r="J67" s="46" t="s">
        <v>2974</v>
      </c>
      <c r="K67" s="46" t="s">
        <v>2975</v>
      </c>
      <c r="L67" s="46" t="s">
        <v>2976</v>
      </c>
    </row>
    <row r="68" spans="2:12">
      <c r="B68" s="46" t="s">
        <v>540</v>
      </c>
      <c r="C68" s="46" t="s">
        <v>2977</v>
      </c>
      <c r="D68" s="46" t="s">
        <v>2978</v>
      </c>
      <c r="E68" s="46" t="s">
        <v>2979</v>
      </c>
      <c r="F68" s="46" t="s">
        <v>2980</v>
      </c>
      <c r="G68" s="46" t="s">
        <v>2981</v>
      </c>
      <c r="H68" s="46" t="s">
        <v>2982</v>
      </c>
      <c r="I68" s="46" t="s">
        <v>2983</v>
      </c>
      <c r="J68" s="46" t="s">
        <v>2984</v>
      </c>
      <c r="K68" s="46" t="s">
        <v>2985</v>
      </c>
      <c r="L68" s="46" t="s">
        <v>2986</v>
      </c>
    </row>
    <row r="69" spans="2:12">
      <c r="B69" s="46" t="s">
        <v>539</v>
      </c>
      <c r="C69" s="46" t="s">
        <v>2987</v>
      </c>
      <c r="D69" s="46" t="s">
        <v>2988</v>
      </c>
      <c r="E69" s="46" t="s">
        <v>2989</v>
      </c>
      <c r="F69" s="46" t="s">
        <v>2990</v>
      </c>
      <c r="G69" s="46" t="s">
        <v>2991</v>
      </c>
      <c r="H69" s="46" t="s">
        <v>2992</v>
      </c>
      <c r="I69" s="46" t="s">
        <v>2993</v>
      </c>
      <c r="J69" s="46" t="s">
        <v>2994</v>
      </c>
      <c r="K69" s="46" t="s">
        <v>2995</v>
      </c>
      <c r="L69" s="46" t="s">
        <v>2996</v>
      </c>
    </row>
    <row r="70" spans="2:12">
      <c r="B70" s="46" t="s">
        <v>538</v>
      </c>
      <c r="C70" s="46" t="s">
        <v>2997</v>
      </c>
      <c r="D70" s="46" t="s">
        <v>2998</v>
      </c>
      <c r="E70" s="46" t="s">
        <v>2999</v>
      </c>
      <c r="F70" s="46" t="s">
        <v>3000</v>
      </c>
      <c r="G70" s="46" t="s">
        <v>3001</v>
      </c>
      <c r="H70" s="46" t="s">
        <v>3002</v>
      </c>
      <c r="I70" s="46" t="s">
        <v>3003</v>
      </c>
      <c r="J70" s="46" t="s">
        <v>3004</v>
      </c>
      <c r="K70" s="46" t="s">
        <v>3005</v>
      </c>
      <c r="L70" s="46" t="s">
        <v>3006</v>
      </c>
    </row>
    <row r="71" spans="2:12">
      <c r="B71" s="46" t="s">
        <v>537</v>
      </c>
      <c r="C71" s="46" t="s">
        <v>3007</v>
      </c>
      <c r="D71" s="46" t="s">
        <v>3008</v>
      </c>
      <c r="E71" s="46" t="s">
        <v>3009</v>
      </c>
      <c r="F71" s="46" t="s">
        <v>3010</v>
      </c>
      <c r="G71" s="46" t="s">
        <v>3011</v>
      </c>
      <c r="H71" s="46" t="s">
        <v>3012</v>
      </c>
      <c r="I71" s="46" t="s">
        <v>3013</v>
      </c>
      <c r="J71" s="46" t="s">
        <v>3014</v>
      </c>
      <c r="K71" s="46" t="s">
        <v>3015</v>
      </c>
      <c r="L71" s="46" t="s">
        <v>3016</v>
      </c>
    </row>
    <row r="72" spans="2:12">
      <c r="B72" s="46" t="s">
        <v>536</v>
      </c>
      <c r="C72" s="46" t="s">
        <v>3017</v>
      </c>
      <c r="D72" s="46" t="s">
        <v>3018</v>
      </c>
      <c r="E72" s="46" t="s">
        <v>3019</v>
      </c>
      <c r="F72" s="46" t="s">
        <v>3020</v>
      </c>
      <c r="G72" s="46" t="s">
        <v>3021</v>
      </c>
      <c r="H72" s="46" t="s">
        <v>3022</v>
      </c>
      <c r="I72" s="46" t="s">
        <v>3023</v>
      </c>
      <c r="J72" s="46" t="s">
        <v>3024</v>
      </c>
      <c r="K72" s="46" t="s">
        <v>3025</v>
      </c>
      <c r="L72" s="46" t="s">
        <v>3026</v>
      </c>
    </row>
    <row r="73" spans="2:12">
      <c r="B73" s="46" t="s">
        <v>535</v>
      </c>
      <c r="C73" s="46" t="s">
        <v>3027</v>
      </c>
      <c r="D73" s="46" t="s">
        <v>3028</v>
      </c>
      <c r="E73" s="46" t="s">
        <v>3029</v>
      </c>
      <c r="F73" s="46" t="s">
        <v>3030</v>
      </c>
      <c r="G73" s="46" t="s">
        <v>3031</v>
      </c>
      <c r="H73" s="46" t="s">
        <v>3032</v>
      </c>
      <c r="I73" s="46" t="s">
        <v>3033</v>
      </c>
      <c r="J73" s="46" t="s">
        <v>3034</v>
      </c>
      <c r="K73" s="46" t="s">
        <v>3035</v>
      </c>
      <c r="L73" s="46" t="s">
        <v>3036</v>
      </c>
    </row>
    <row r="74" spans="2:12">
      <c r="B74" s="46" t="s">
        <v>534</v>
      </c>
      <c r="C74" s="46" t="s">
        <v>3037</v>
      </c>
      <c r="D74" s="46" t="s">
        <v>3038</v>
      </c>
      <c r="E74" s="46" t="s">
        <v>3039</v>
      </c>
      <c r="F74" s="46" t="s">
        <v>3040</v>
      </c>
      <c r="G74" s="46" t="s">
        <v>3041</v>
      </c>
      <c r="H74" s="46" t="s">
        <v>3042</v>
      </c>
      <c r="I74" s="46" t="s">
        <v>3043</v>
      </c>
      <c r="J74" s="46" t="s">
        <v>3044</v>
      </c>
      <c r="K74" s="46" t="s">
        <v>3045</v>
      </c>
      <c r="L74" s="46" t="s">
        <v>3046</v>
      </c>
    </row>
    <row r="75" spans="2:12">
      <c r="B75" s="46" t="s">
        <v>533</v>
      </c>
      <c r="C75" s="46" t="s">
        <v>3047</v>
      </c>
      <c r="D75" s="46" t="s">
        <v>3048</v>
      </c>
      <c r="E75" s="46" t="s">
        <v>3049</v>
      </c>
      <c r="F75" s="46" t="s">
        <v>3050</v>
      </c>
      <c r="G75" s="46" t="s">
        <v>3051</v>
      </c>
      <c r="H75" s="46" t="s">
        <v>3052</v>
      </c>
      <c r="I75" s="46" t="s">
        <v>3053</v>
      </c>
      <c r="J75" s="46" t="s">
        <v>3054</v>
      </c>
      <c r="K75" s="46" t="s">
        <v>3055</v>
      </c>
      <c r="L75" s="46" t="s">
        <v>3056</v>
      </c>
    </row>
    <row r="76" spans="2:12">
      <c r="B76" s="46" t="s">
        <v>532</v>
      </c>
      <c r="C76" s="46" t="s">
        <v>3057</v>
      </c>
      <c r="D76" s="46" t="s">
        <v>3058</v>
      </c>
      <c r="E76" s="46" t="s">
        <v>3059</v>
      </c>
      <c r="F76" s="46" t="s">
        <v>3060</v>
      </c>
      <c r="G76" s="46" t="s">
        <v>3061</v>
      </c>
      <c r="H76" s="46" t="s">
        <v>3062</v>
      </c>
      <c r="I76" s="46" t="s">
        <v>3063</v>
      </c>
      <c r="J76" s="46" t="s">
        <v>3064</v>
      </c>
      <c r="K76" s="46" t="s">
        <v>3065</v>
      </c>
      <c r="L76" s="46" t="s">
        <v>3066</v>
      </c>
    </row>
    <row r="77" spans="2:12">
      <c r="B77" s="46" t="s">
        <v>531</v>
      </c>
      <c r="C77" s="46" t="s">
        <v>3067</v>
      </c>
      <c r="D77" s="46" t="s">
        <v>3068</v>
      </c>
      <c r="E77" s="46" t="s">
        <v>3069</v>
      </c>
      <c r="F77" s="46" t="s">
        <v>3070</v>
      </c>
      <c r="G77" s="46" t="s">
        <v>3071</v>
      </c>
      <c r="H77" s="46" t="s">
        <v>3072</v>
      </c>
      <c r="I77" s="46" t="s">
        <v>3073</v>
      </c>
      <c r="J77" s="46" t="s">
        <v>3074</v>
      </c>
      <c r="K77" s="46" t="s">
        <v>3075</v>
      </c>
      <c r="L77" s="46" t="s">
        <v>3076</v>
      </c>
    </row>
    <row r="78" spans="2:12">
      <c r="B78" s="46" t="s">
        <v>530</v>
      </c>
      <c r="C78" s="46" t="s">
        <v>3077</v>
      </c>
      <c r="D78" s="46" t="s">
        <v>3078</v>
      </c>
      <c r="E78" s="46" t="s">
        <v>3079</v>
      </c>
      <c r="F78" s="46" t="s">
        <v>3080</v>
      </c>
      <c r="G78" s="46" t="s">
        <v>3081</v>
      </c>
      <c r="H78" s="46" t="s">
        <v>3082</v>
      </c>
      <c r="I78" s="46" t="s">
        <v>3083</v>
      </c>
      <c r="J78" s="46" t="s">
        <v>3084</v>
      </c>
      <c r="K78" s="46" t="s">
        <v>3085</v>
      </c>
      <c r="L78" s="46" t="s">
        <v>3086</v>
      </c>
    </row>
    <row r="79" spans="2:12">
      <c r="B79" s="46" t="s">
        <v>529</v>
      </c>
      <c r="C79" s="46" t="s">
        <v>3087</v>
      </c>
      <c r="D79" s="46" t="s">
        <v>3088</v>
      </c>
      <c r="E79" s="46" t="s">
        <v>3089</v>
      </c>
      <c r="F79" s="46" t="s">
        <v>3090</v>
      </c>
      <c r="G79" s="46" t="s">
        <v>3091</v>
      </c>
      <c r="H79" s="46" t="s">
        <v>3092</v>
      </c>
      <c r="I79" s="46" t="s">
        <v>3093</v>
      </c>
      <c r="J79" s="46" t="s">
        <v>3094</v>
      </c>
      <c r="K79" s="46" t="s">
        <v>3095</v>
      </c>
      <c r="L79" s="46" t="s">
        <v>3096</v>
      </c>
    </row>
    <row r="80" spans="2:12">
      <c r="B80" s="46" t="s">
        <v>528</v>
      </c>
      <c r="C80" s="46" t="s">
        <v>3097</v>
      </c>
      <c r="D80" s="46" t="s">
        <v>3098</v>
      </c>
      <c r="E80" s="46" t="s">
        <v>3099</v>
      </c>
      <c r="F80" s="46" t="s">
        <v>3100</v>
      </c>
      <c r="G80" s="46" t="s">
        <v>3101</v>
      </c>
      <c r="H80" s="46" t="s">
        <v>3102</v>
      </c>
      <c r="I80" s="46" t="s">
        <v>3103</v>
      </c>
      <c r="J80" s="46" t="s">
        <v>3104</v>
      </c>
      <c r="K80" s="46" t="s">
        <v>3105</v>
      </c>
      <c r="L80" s="46" t="s">
        <v>3106</v>
      </c>
    </row>
    <row r="81" spans="2:12">
      <c r="B81" s="46" t="s">
        <v>527</v>
      </c>
      <c r="C81" s="46" t="s">
        <v>3107</v>
      </c>
      <c r="D81" s="46" t="s">
        <v>3108</v>
      </c>
      <c r="E81" s="46" t="s">
        <v>3109</v>
      </c>
      <c r="F81" s="46" t="s">
        <v>3110</v>
      </c>
      <c r="G81" s="46" t="s">
        <v>3111</v>
      </c>
      <c r="H81" s="46" t="s">
        <v>3112</v>
      </c>
      <c r="I81" s="46" t="s">
        <v>3113</v>
      </c>
      <c r="J81" s="46" t="s">
        <v>3114</v>
      </c>
      <c r="K81" s="46" t="s">
        <v>3115</v>
      </c>
      <c r="L81" s="46" t="s">
        <v>3116</v>
      </c>
    </row>
    <row r="82" spans="2:12">
      <c r="B82" s="46" t="s">
        <v>526</v>
      </c>
      <c r="C82" s="46" t="s">
        <v>3117</v>
      </c>
      <c r="D82" s="46" t="s">
        <v>3118</v>
      </c>
      <c r="E82" s="46" t="s">
        <v>3119</v>
      </c>
      <c r="F82" s="46" t="s">
        <v>3120</v>
      </c>
      <c r="G82" s="46" t="s">
        <v>3121</v>
      </c>
      <c r="H82" s="46" t="s">
        <v>3122</v>
      </c>
      <c r="I82" s="46" t="s">
        <v>3123</v>
      </c>
      <c r="J82" s="46" t="s">
        <v>3124</v>
      </c>
      <c r="K82" s="46" t="s">
        <v>3125</v>
      </c>
      <c r="L82" s="46" t="s">
        <v>3126</v>
      </c>
    </row>
    <row r="83" spans="2:12">
      <c r="B83" s="46" t="s">
        <v>525</v>
      </c>
      <c r="C83" s="46" t="s">
        <v>3127</v>
      </c>
      <c r="D83" s="46" t="s">
        <v>3128</v>
      </c>
      <c r="E83" s="46" t="s">
        <v>3129</v>
      </c>
      <c r="F83" s="46" t="s">
        <v>3130</v>
      </c>
      <c r="G83" s="46" t="s">
        <v>3131</v>
      </c>
      <c r="H83" s="46" t="s">
        <v>3132</v>
      </c>
      <c r="I83" s="46" t="s">
        <v>3133</v>
      </c>
      <c r="J83" s="46" t="s">
        <v>3134</v>
      </c>
      <c r="K83" s="46" t="s">
        <v>3135</v>
      </c>
      <c r="L83" s="46" t="s">
        <v>3136</v>
      </c>
    </row>
    <row r="84" spans="2:12">
      <c r="B84" s="46" t="s">
        <v>524</v>
      </c>
      <c r="C84" s="46" t="s">
        <v>3137</v>
      </c>
      <c r="D84" s="46" t="s">
        <v>3138</v>
      </c>
      <c r="E84" s="46" t="s">
        <v>3139</v>
      </c>
      <c r="F84" s="46" t="s">
        <v>3140</v>
      </c>
      <c r="G84" s="46" t="s">
        <v>3141</v>
      </c>
      <c r="H84" s="46" t="s">
        <v>3142</v>
      </c>
      <c r="I84" s="46" t="s">
        <v>3143</v>
      </c>
      <c r="J84" s="46" t="s">
        <v>3144</v>
      </c>
      <c r="K84" s="46" t="s">
        <v>3145</v>
      </c>
      <c r="L84" s="46" t="s">
        <v>3146</v>
      </c>
    </row>
    <row r="85" spans="2:12">
      <c r="B85" s="46" t="s">
        <v>523</v>
      </c>
      <c r="C85" s="46" t="s">
        <v>3147</v>
      </c>
      <c r="D85" s="46" t="s">
        <v>3148</v>
      </c>
      <c r="E85" s="46" t="s">
        <v>3149</v>
      </c>
      <c r="F85" s="46" t="s">
        <v>3150</v>
      </c>
      <c r="G85" s="46" t="s">
        <v>3151</v>
      </c>
      <c r="H85" s="46" t="s">
        <v>3152</v>
      </c>
      <c r="I85" s="46" t="s">
        <v>3153</v>
      </c>
      <c r="J85" s="46" t="s">
        <v>3154</v>
      </c>
      <c r="K85" s="46" t="s">
        <v>3155</v>
      </c>
      <c r="L85" s="46" t="s">
        <v>3156</v>
      </c>
    </row>
    <row r="86" spans="2:12">
      <c r="B86" s="46" t="s">
        <v>522</v>
      </c>
      <c r="C86" s="46" t="s">
        <v>3157</v>
      </c>
      <c r="D86" s="46" t="s">
        <v>3158</v>
      </c>
      <c r="E86" s="46" t="s">
        <v>3159</v>
      </c>
      <c r="F86" s="46" t="s">
        <v>3160</v>
      </c>
      <c r="G86" s="46" t="s">
        <v>3161</v>
      </c>
      <c r="H86" s="46" t="s">
        <v>3162</v>
      </c>
      <c r="I86" s="46" t="s">
        <v>3163</v>
      </c>
      <c r="J86" s="46" t="s">
        <v>3164</v>
      </c>
      <c r="K86" s="46" t="s">
        <v>3165</v>
      </c>
      <c r="L86" s="46" t="s">
        <v>3166</v>
      </c>
    </row>
    <row r="87" spans="2:12">
      <c r="B87" s="46" t="s">
        <v>521</v>
      </c>
      <c r="C87" s="46" t="s">
        <v>3167</v>
      </c>
      <c r="D87" s="46" t="s">
        <v>3168</v>
      </c>
      <c r="E87" s="46" t="s">
        <v>3169</v>
      </c>
      <c r="F87" s="46" t="s">
        <v>3170</v>
      </c>
      <c r="G87" s="46" t="s">
        <v>3171</v>
      </c>
      <c r="H87" s="46" t="s">
        <v>3172</v>
      </c>
      <c r="I87" s="46" t="s">
        <v>3173</v>
      </c>
      <c r="J87" s="46" t="s">
        <v>3174</v>
      </c>
      <c r="K87" s="46" t="s">
        <v>3175</v>
      </c>
      <c r="L87" s="46" t="s">
        <v>3176</v>
      </c>
    </row>
    <row r="88" spans="2:12">
      <c r="B88" s="46" t="s">
        <v>520</v>
      </c>
      <c r="C88" s="46" t="s">
        <v>3177</v>
      </c>
      <c r="D88" s="46" t="s">
        <v>3178</v>
      </c>
      <c r="E88" s="46" t="s">
        <v>3179</v>
      </c>
      <c r="F88" s="46" t="s">
        <v>3180</v>
      </c>
      <c r="G88" s="46" t="s">
        <v>3181</v>
      </c>
      <c r="H88" s="46" t="s">
        <v>3182</v>
      </c>
      <c r="I88" s="46" t="s">
        <v>3183</v>
      </c>
      <c r="J88" s="46" t="s">
        <v>3184</v>
      </c>
      <c r="K88" s="46" t="s">
        <v>3185</v>
      </c>
      <c r="L88" s="46" t="s">
        <v>3186</v>
      </c>
    </row>
    <row r="89" spans="2:12">
      <c r="B89" s="46" t="s">
        <v>519</v>
      </c>
      <c r="C89" s="46" t="s">
        <v>3187</v>
      </c>
      <c r="D89" s="46" t="s">
        <v>3188</v>
      </c>
      <c r="E89" s="46" t="s">
        <v>3189</v>
      </c>
      <c r="F89" s="46" t="s">
        <v>3190</v>
      </c>
      <c r="G89" s="46" t="s">
        <v>3191</v>
      </c>
      <c r="H89" s="46" t="s">
        <v>3192</v>
      </c>
      <c r="I89" s="46" t="s">
        <v>3193</v>
      </c>
      <c r="J89" s="46" t="s">
        <v>3194</v>
      </c>
      <c r="K89" s="46" t="s">
        <v>3195</v>
      </c>
      <c r="L89" s="46" t="s">
        <v>3196</v>
      </c>
    </row>
    <row r="90" spans="2:12">
      <c r="B90" s="46" t="s">
        <v>518</v>
      </c>
      <c r="C90" s="46" t="s">
        <v>3197</v>
      </c>
      <c r="D90" s="46" t="s">
        <v>3198</v>
      </c>
      <c r="E90" s="46" t="s">
        <v>3199</v>
      </c>
      <c r="F90" s="46" t="s">
        <v>3200</v>
      </c>
      <c r="G90" s="46" t="s">
        <v>3201</v>
      </c>
      <c r="H90" s="46" t="s">
        <v>3202</v>
      </c>
      <c r="I90" s="46" t="s">
        <v>3203</v>
      </c>
      <c r="J90" s="46" t="s">
        <v>3204</v>
      </c>
      <c r="K90" s="46" t="s">
        <v>3205</v>
      </c>
      <c r="L90" s="46" t="s">
        <v>3206</v>
      </c>
    </row>
    <row r="91" spans="2:12">
      <c r="B91" s="46" t="s">
        <v>517</v>
      </c>
      <c r="C91" s="46" t="s">
        <v>3207</v>
      </c>
      <c r="D91" s="46" t="s">
        <v>3208</v>
      </c>
      <c r="E91" s="46" t="s">
        <v>3209</v>
      </c>
      <c r="F91" s="46" t="s">
        <v>3210</v>
      </c>
      <c r="G91" s="46" t="s">
        <v>3211</v>
      </c>
      <c r="H91" s="46" t="s">
        <v>3212</v>
      </c>
      <c r="I91" s="46" t="s">
        <v>3213</v>
      </c>
      <c r="J91" s="46" t="s">
        <v>3214</v>
      </c>
      <c r="K91" s="46" t="s">
        <v>3215</v>
      </c>
      <c r="L91" s="46" t="s">
        <v>3216</v>
      </c>
    </row>
    <row r="92" spans="2:12">
      <c r="B92" s="46" t="s">
        <v>516</v>
      </c>
      <c r="C92" s="46" t="s">
        <v>3217</v>
      </c>
      <c r="D92" s="46" t="s">
        <v>3218</v>
      </c>
      <c r="E92" s="46" t="s">
        <v>3219</v>
      </c>
      <c r="F92" s="46" t="s">
        <v>3220</v>
      </c>
      <c r="G92" s="46" t="s">
        <v>3221</v>
      </c>
      <c r="H92" s="46" t="s">
        <v>3222</v>
      </c>
      <c r="I92" s="46" t="s">
        <v>3223</v>
      </c>
      <c r="J92" s="46" t="s">
        <v>3224</v>
      </c>
      <c r="K92" s="46" t="s">
        <v>3225</v>
      </c>
      <c r="L92" s="46" t="s">
        <v>3226</v>
      </c>
    </row>
    <row r="93" spans="2:12">
      <c r="B93" s="46" t="s">
        <v>515</v>
      </c>
      <c r="C93" s="46" t="s">
        <v>3227</v>
      </c>
      <c r="D93" s="46" t="s">
        <v>3228</v>
      </c>
      <c r="E93" s="46" t="s">
        <v>3229</v>
      </c>
      <c r="F93" s="46" t="s">
        <v>3230</v>
      </c>
      <c r="G93" s="46" t="s">
        <v>3231</v>
      </c>
      <c r="H93" s="46" t="s">
        <v>3232</v>
      </c>
      <c r="I93" s="46" t="s">
        <v>3233</v>
      </c>
      <c r="J93" s="46" t="s">
        <v>3234</v>
      </c>
      <c r="K93" s="46" t="s">
        <v>3235</v>
      </c>
      <c r="L93" s="46" t="s">
        <v>3236</v>
      </c>
    </row>
    <row r="94" spans="2:12">
      <c r="B94" s="46" t="s">
        <v>514</v>
      </c>
      <c r="C94" s="46" t="s">
        <v>3237</v>
      </c>
      <c r="D94" s="46" t="s">
        <v>3238</v>
      </c>
      <c r="E94" s="46" t="s">
        <v>3239</v>
      </c>
      <c r="F94" s="46" t="s">
        <v>3240</v>
      </c>
      <c r="G94" s="46" t="s">
        <v>3241</v>
      </c>
      <c r="H94" s="46" t="s">
        <v>3242</v>
      </c>
      <c r="I94" s="46" t="s">
        <v>3243</v>
      </c>
      <c r="J94" s="46" t="s">
        <v>3244</v>
      </c>
      <c r="K94" s="46" t="s">
        <v>3245</v>
      </c>
      <c r="L94" s="46" t="s">
        <v>3246</v>
      </c>
    </row>
    <row r="95" spans="2:12">
      <c r="B95" s="46" t="s">
        <v>513</v>
      </c>
      <c r="C95" s="46" t="s">
        <v>3247</v>
      </c>
      <c r="D95" s="46" t="s">
        <v>3248</v>
      </c>
      <c r="E95" s="46" t="s">
        <v>3249</v>
      </c>
      <c r="F95" s="46" t="s">
        <v>3250</v>
      </c>
      <c r="G95" s="46" t="s">
        <v>3251</v>
      </c>
      <c r="H95" s="46" t="s">
        <v>3252</v>
      </c>
      <c r="I95" s="46" t="s">
        <v>3253</v>
      </c>
      <c r="J95" s="46" t="s">
        <v>3254</v>
      </c>
      <c r="K95" s="46" t="s">
        <v>3255</v>
      </c>
      <c r="L95" s="46" t="s">
        <v>3256</v>
      </c>
    </row>
    <row r="96" spans="2:12">
      <c r="B96" s="46" t="s">
        <v>512</v>
      </c>
      <c r="C96" s="46" t="s">
        <v>3257</v>
      </c>
      <c r="D96" s="46" t="s">
        <v>3258</v>
      </c>
      <c r="E96" s="46" t="s">
        <v>3259</v>
      </c>
      <c r="F96" s="46" t="s">
        <v>3260</v>
      </c>
      <c r="G96" s="46" t="s">
        <v>3261</v>
      </c>
      <c r="H96" s="46" t="s">
        <v>3262</v>
      </c>
      <c r="I96" s="46" t="s">
        <v>3263</v>
      </c>
      <c r="J96" s="46" t="s">
        <v>3264</v>
      </c>
      <c r="K96" s="46" t="s">
        <v>3265</v>
      </c>
      <c r="L96" s="46" t="s">
        <v>3266</v>
      </c>
    </row>
    <row r="97" spans="2:12">
      <c r="B97" s="46" t="s">
        <v>511</v>
      </c>
      <c r="C97" s="46" t="s">
        <v>3267</v>
      </c>
      <c r="D97" s="46" t="s">
        <v>3268</v>
      </c>
      <c r="E97" s="46" t="s">
        <v>3269</v>
      </c>
      <c r="F97" s="46" t="s">
        <v>3270</v>
      </c>
      <c r="G97" s="46" t="s">
        <v>3271</v>
      </c>
      <c r="H97" s="46" t="s">
        <v>3272</v>
      </c>
      <c r="I97" s="46" t="s">
        <v>3273</v>
      </c>
      <c r="J97" s="46" t="s">
        <v>3274</v>
      </c>
      <c r="K97" s="46" t="s">
        <v>3275</v>
      </c>
      <c r="L97" s="46" t="s">
        <v>3276</v>
      </c>
    </row>
    <row r="98" spans="2:12">
      <c r="B98" s="46" t="s">
        <v>510</v>
      </c>
      <c r="C98" s="46" t="s">
        <v>3277</v>
      </c>
      <c r="D98" s="46" t="s">
        <v>3278</v>
      </c>
      <c r="E98" s="46" t="s">
        <v>3279</v>
      </c>
      <c r="F98" s="46" t="s">
        <v>3280</v>
      </c>
      <c r="G98" s="46" t="s">
        <v>3281</v>
      </c>
      <c r="H98" s="46" t="s">
        <v>3282</v>
      </c>
      <c r="I98" s="46" t="s">
        <v>3283</v>
      </c>
      <c r="J98" s="46" t="s">
        <v>3284</v>
      </c>
      <c r="K98" s="46" t="s">
        <v>3285</v>
      </c>
      <c r="L98" s="46" t="s">
        <v>3286</v>
      </c>
    </row>
    <row r="99" spans="2:12">
      <c r="B99" s="46" t="s">
        <v>509</v>
      </c>
      <c r="C99" s="46" t="s">
        <v>3287</v>
      </c>
      <c r="D99" s="46" t="s">
        <v>3288</v>
      </c>
      <c r="E99" s="46" t="s">
        <v>3289</v>
      </c>
      <c r="F99" s="46" t="s">
        <v>3290</v>
      </c>
      <c r="G99" s="46" t="s">
        <v>3291</v>
      </c>
      <c r="H99" s="46" t="s">
        <v>3292</v>
      </c>
      <c r="I99" s="46" t="s">
        <v>3293</v>
      </c>
      <c r="J99" s="46" t="s">
        <v>3294</v>
      </c>
      <c r="K99" s="46" t="s">
        <v>3295</v>
      </c>
      <c r="L99" s="46" t="s">
        <v>3296</v>
      </c>
    </row>
    <row r="100" spans="2:12">
      <c r="B100" s="46" t="s">
        <v>508</v>
      </c>
      <c r="C100" s="46" t="s">
        <v>3297</v>
      </c>
      <c r="D100" s="46" t="s">
        <v>3298</v>
      </c>
      <c r="E100" s="46" t="s">
        <v>3299</v>
      </c>
      <c r="F100" s="46" t="s">
        <v>3300</v>
      </c>
      <c r="G100" s="46" t="s">
        <v>3301</v>
      </c>
      <c r="H100" s="46" t="s">
        <v>3302</v>
      </c>
      <c r="I100" s="46" t="s">
        <v>3303</v>
      </c>
      <c r="J100" s="46" t="s">
        <v>3304</v>
      </c>
      <c r="K100" s="46" t="s">
        <v>3305</v>
      </c>
      <c r="L100" s="46" t="s">
        <v>3306</v>
      </c>
    </row>
    <row r="101" spans="2:12">
      <c r="B101" s="46" t="s">
        <v>507</v>
      </c>
      <c r="C101" s="46" t="s">
        <v>3307</v>
      </c>
      <c r="D101" s="46" t="s">
        <v>3308</v>
      </c>
      <c r="E101" s="46" t="s">
        <v>3309</v>
      </c>
      <c r="F101" s="46" t="s">
        <v>3310</v>
      </c>
      <c r="G101" s="46" t="s">
        <v>3311</v>
      </c>
      <c r="H101" s="46" t="s">
        <v>3312</v>
      </c>
      <c r="I101" s="46" t="s">
        <v>3313</v>
      </c>
      <c r="J101" s="46" t="s">
        <v>3314</v>
      </c>
      <c r="K101" s="46" t="s">
        <v>3315</v>
      </c>
      <c r="L101" s="46" t="s">
        <v>3316</v>
      </c>
    </row>
    <row r="102" spans="2:12">
      <c r="B102" s="46" t="s">
        <v>506</v>
      </c>
      <c r="C102" s="46" t="s">
        <v>3317</v>
      </c>
      <c r="D102" s="46" t="s">
        <v>3318</v>
      </c>
      <c r="E102" s="46" t="s">
        <v>3319</v>
      </c>
      <c r="F102" s="46" t="s">
        <v>3320</v>
      </c>
      <c r="G102" s="46" t="s">
        <v>3321</v>
      </c>
      <c r="H102" s="46" t="s">
        <v>3322</v>
      </c>
      <c r="I102" s="46" t="s">
        <v>3323</v>
      </c>
      <c r="J102" s="46" t="s">
        <v>3324</v>
      </c>
      <c r="K102" s="46" t="s">
        <v>3325</v>
      </c>
      <c r="L102" s="46" t="s">
        <v>3326</v>
      </c>
    </row>
    <row r="103" spans="2:12">
      <c r="B103" s="46" t="s">
        <v>505</v>
      </c>
      <c r="C103" s="46" t="s">
        <v>3327</v>
      </c>
      <c r="D103" s="46" t="s">
        <v>3328</v>
      </c>
      <c r="E103" s="46" t="s">
        <v>3329</v>
      </c>
      <c r="F103" s="46" t="s">
        <v>3330</v>
      </c>
      <c r="G103" s="46" t="s">
        <v>3331</v>
      </c>
      <c r="H103" s="46" t="s">
        <v>3332</v>
      </c>
      <c r="I103" s="46" t="s">
        <v>3333</v>
      </c>
      <c r="J103" s="46" t="s">
        <v>3334</v>
      </c>
      <c r="K103" s="46" t="s">
        <v>3335</v>
      </c>
      <c r="L103" s="46" t="s">
        <v>3336</v>
      </c>
    </row>
    <row r="104" spans="2:12">
      <c r="B104" s="46" t="s">
        <v>504</v>
      </c>
      <c r="C104" s="46" t="s">
        <v>3337</v>
      </c>
      <c r="D104" s="46" t="s">
        <v>3338</v>
      </c>
      <c r="E104" s="46" t="s">
        <v>3339</v>
      </c>
      <c r="F104" s="46" t="s">
        <v>3340</v>
      </c>
      <c r="G104" s="46" t="s">
        <v>3341</v>
      </c>
      <c r="H104" s="46" t="s">
        <v>3342</v>
      </c>
      <c r="I104" s="46" t="s">
        <v>3343</v>
      </c>
      <c r="J104" s="46" t="s">
        <v>3344</v>
      </c>
      <c r="K104" s="46" t="s">
        <v>3345</v>
      </c>
      <c r="L104" s="46" t="s">
        <v>3346</v>
      </c>
    </row>
    <row r="105" spans="2:12">
      <c r="B105" s="46" t="s">
        <v>503</v>
      </c>
      <c r="C105" s="46" t="s">
        <v>3347</v>
      </c>
      <c r="D105" s="46" t="s">
        <v>3348</v>
      </c>
      <c r="E105" s="46" t="s">
        <v>3349</v>
      </c>
      <c r="F105" s="46" t="s">
        <v>3350</v>
      </c>
      <c r="G105" s="46" t="s">
        <v>3351</v>
      </c>
      <c r="H105" s="46" t="s">
        <v>3352</v>
      </c>
      <c r="I105" s="46" t="s">
        <v>3353</v>
      </c>
      <c r="J105" s="46" t="s">
        <v>3354</v>
      </c>
      <c r="K105" s="46" t="s">
        <v>3355</v>
      </c>
      <c r="L105" s="46" t="s">
        <v>3356</v>
      </c>
    </row>
    <row r="106" spans="2:12">
      <c r="B106" s="46" t="s">
        <v>502</v>
      </c>
      <c r="C106" s="46" t="s">
        <v>3357</v>
      </c>
      <c r="D106" s="46" t="s">
        <v>3358</v>
      </c>
      <c r="E106" s="46" t="s">
        <v>3359</v>
      </c>
      <c r="F106" s="46" t="s">
        <v>3360</v>
      </c>
      <c r="G106" s="46" t="s">
        <v>3361</v>
      </c>
      <c r="H106" s="46" t="s">
        <v>3362</v>
      </c>
      <c r="I106" s="46" t="s">
        <v>3363</v>
      </c>
      <c r="J106" s="46" t="s">
        <v>3364</v>
      </c>
      <c r="K106" s="46" t="s">
        <v>3365</v>
      </c>
      <c r="L106" s="46" t="s">
        <v>3366</v>
      </c>
    </row>
    <row r="107" spans="2:12">
      <c r="B107" s="46" t="s">
        <v>501</v>
      </c>
      <c r="C107" s="46" t="s">
        <v>3367</v>
      </c>
      <c r="D107" s="46" t="s">
        <v>3368</v>
      </c>
      <c r="E107" s="46" t="s">
        <v>3369</v>
      </c>
      <c r="F107" s="46" t="s">
        <v>3370</v>
      </c>
      <c r="G107" s="46" t="s">
        <v>3371</v>
      </c>
      <c r="H107" s="46" t="s">
        <v>3372</v>
      </c>
      <c r="I107" s="46" t="s">
        <v>3373</v>
      </c>
      <c r="J107" s="46" t="s">
        <v>3374</v>
      </c>
      <c r="K107" s="46" t="s">
        <v>3375</v>
      </c>
      <c r="L107" s="46" t="s">
        <v>3376</v>
      </c>
    </row>
    <row r="108" spans="2:12">
      <c r="B108" s="46" t="s">
        <v>500</v>
      </c>
      <c r="C108" s="46" t="s">
        <v>3377</v>
      </c>
      <c r="D108" s="46" t="s">
        <v>3378</v>
      </c>
      <c r="E108" s="46" t="s">
        <v>3379</v>
      </c>
      <c r="F108" s="46" t="s">
        <v>3380</v>
      </c>
      <c r="G108" s="46" t="s">
        <v>3381</v>
      </c>
      <c r="H108" s="46" t="s">
        <v>3382</v>
      </c>
      <c r="I108" s="46" t="s">
        <v>3383</v>
      </c>
      <c r="J108" s="46" t="s">
        <v>3384</v>
      </c>
      <c r="K108" s="46" t="s">
        <v>3385</v>
      </c>
      <c r="L108" s="46" t="s">
        <v>3386</v>
      </c>
    </row>
    <row r="109" spans="2:12">
      <c r="B109" s="46" t="s">
        <v>499</v>
      </c>
      <c r="C109" s="46" t="s">
        <v>3387</v>
      </c>
      <c r="D109" s="46" t="s">
        <v>3388</v>
      </c>
      <c r="E109" s="46" t="s">
        <v>3389</v>
      </c>
      <c r="F109" s="46" t="s">
        <v>3390</v>
      </c>
      <c r="G109" s="46" t="s">
        <v>3391</v>
      </c>
      <c r="H109" s="46" t="s">
        <v>3392</v>
      </c>
      <c r="I109" s="46" t="s">
        <v>3393</v>
      </c>
      <c r="J109" s="46" t="s">
        <v>3394</v>
      </c>
      <c r="K109" s="46" t="s">
        <v>3395</v>
      </c>
      <c r="L109" s="46" t="s">
        <v>3396</v>
      </c>
    </row>
    <row r="110" spans="2:12">
      <c r="B110" s="46" t="s">
        <v>498</v>
      </c>
      <c r="C110" s="46" t="s">
        <v>3397</v>
      </c>
      <c r="D110" s="46" t="s">
        <v>3398</v>
      </c>
      <c r="E110" s="46" t="s">
        <v>3399</v>
      </c>
      <c r="F110" s="46" t="s">
        <v>3400</v>
      </c>
      <c r="G110" s="46" t="s">
        <v>3401</v>
      </c>
      <c r="H110" s="46" t="s">
        <v>3402</v>
      </c>
      <c r="I110" s="46" t="s">
        <v>3403</v>
      </c>
      <c r="J110" s="46" t="s">
        <v>3404</v>
      </c>
      <c r="K110" s="46" t="s">
        <v>3405</v>
      </c>
      <c r="L110" s="46" t="s">
        <v>3406</v>
      </c>
    </row>
    <row r="111" spans="2:12">
      <c r="B111" s="46" t="s">
        <v>497</v>
      </c>
      <c r="C111" s="46" t="s">
        <v>3407</v>
      </c>
      <c r="D111" s="46" t="s">
        <v>3408</v>
      </c>
      <c r="E111" s="46" t="s">
        <v>3409</v>
      </c>
      <c r="F111" s="46" t="s">
        <v>3410</v>
      </c>
      <c r="G111" s="46" t="s">
        <v>3411</v>
      </c>
      <c r="H111" s="46" t="s">
        <v>3412</v>
      </c>
      <c r="I111" s="46" t="s">
        <v>3413</v>
      </c>
      <c r="J111" s="46" t="s">
        <v>3414</v>
      </c>
      <c r="K111" s="46" t="s">
        <v>3415</v>
      </c>
      <c r="L111" s="46" t="s">
        <v>3416</v>
      </c>
    </row>
    <row r="112" spans="2:12">
      <c r="B112" s="46" t="s">
        <v>496</v>
      </c>
      <c r="C112" s="46" t="s">
        <v>3417</v>
      </c>
      <c r="D112" s="46" t="s">
        <v>3418</v>
      </c>
      <c r="E112" s="46" t="s">
        <v>3419</v>
      </c>
      <c r="F112" s="46" t="s">
        <v>3420</v>
      </c>
      <c r="G112" s="46" t="s">
        <v>3421</v>
      </c>
      <c r="H112" s="46" t="s">
        <v>3422</v>
      </c>
      <c r="I112" s="46" t="s">
        <v>3423</v>
      </c>
      <c r="J112" s="46" t="s">
        <v>3424</v>
      </c>
      <c r="K112" s="46" t="s">
        <v>3425</v>
      </c>
      <c r="L112" s="46" t="s">
        <v>3426</v>
      </c>
    </row>
    <row r="113" spans="2:12">
      <c r="B113" s="46" t="s">
        <v>495</v>
      </c>
      <c r="C113" s="46" t="s">
        <v>3427</v>
      </c>
      <c r="D113" s="46" t="s">
        <v>3428</v>
      </c>
      <c r="E113" s="46" t="s">
        <v>3429</v>
      </c>
      <c r="F113" s="46" t="s">
        <v>3430</v>
      </c>
      <c r="G113" s="46" t="s">
        <v>3431</v>
      </c>
      <c r="H113" s="46" t="s">
        <v>3432</v>
      </c>
      <c r="I113" s="46" t="s">
        <v>3433</v>
      </c>
      <c r="J113" s="46" t="s">
        <v>3434</v>
      </c>
      <c r="K113" s="46" t="s">
        <v>3435</v>
      </c>
      <c r="L113" s="46" t="s">
        <v>3436</v>
      </c>
    </row>
    <row r="114" spans="2:12">
      <c r="B114" s="46" t="s">
        <v>494</v>
      </c>
      <c r="C114" s="46" t="s">
        <v>3437</v>
      </c>
      <c r="D114" s="46" t="s">
        <v>3438</v>
      </c>
      <c r="E114" s="46" t="s">
        <v>3439</v>
      </c>
      <c r="F114" s="46" t="s">
        <v>3440</v>
      </c>
      <c r="G114" s="46" t="s">
        <v>3441</v>
      </c>
      <c r="H114" s="46" t="s">
        <v>3442</v>
      </c>
      <c r="I114" s="46" t="s">
        <v>3443</v>
      </c>
      <c r="J114" s="46" t="s">
        <v>3444</v>
      </c>
      <c r="K114" s="46" t="s">
        <v>3445</v>
      </c>
      <c r="L114" s="46" t="s">
        <v>3446</v>
      </c>
    </row>
    <row r="115" spans="2:12">
      <c r="B115" s="46" t="s">
        <v>493</v>
      </c>
      <c r="C115" s="46" t="s">
        <v>3447</v>
      </c>
      <c r="D115" s="46" t="s">
        <v>3448</v>
      </c>
      <c r="E115" s="46" t="s">
        <v>3449</v>
      </c>
      <c r="F115" s="46" t="s">
        <v>3450</v>
      </c>
      <c r="G115" s="46" t="s">
        <v>3451</v>
      </c>
      <c r="H115" s="46" t="s">
        <v>3452</v>
      </c>
      <c r="I115" s="46" t="s">
        <v>3453</v>
      </c>
      <c r="J115" s="46" t="s">
        <v>3454</v>
      </c>
      <c r="K115" s="46" t="s">
        <v>3455</v>
      </c>
      <c r="L115" s="46" t="s">
        <v>3456</v>
      </c>
    </row>
    <row r="116" spans="2:12">
      <c r="B116" s="46" t="s">
        <v>492</v>
      </c>
      <c r="C116" s="46" t="s">
        <v>3457</v>
      </c>
      <c r="D116" s="46" t="s">
        <v>3458</v>
      </c>
      <c r="E116" s="46" t="s">
        <v>3459</v>
      </c>
      <c r="F116" s="46" t="s">
        <v>3460</v>
      </c>
      <c r="G116" s="46" t="s">
        <v>3461</v>
      </c>
      <c r="H116" s="46" t="s">
        <v>3462</v>
      </c>
      <c r="I116" s="46" t="s">
        <v>3463</v>
      </c>
      <c r="J116" s="46" t="s">
        <v>3464</v>
      </c>
      <c r="K116" s="46" t="s">
        <v>3465</v>
      </c>
      <c r="L116" s="46" t="s">
        <v>3466</v>
      </c>
    </row>
    <row r="117" spans="2:12">
      <c r="B117" s="46" t="s">
        <v>491</v>
      </c>
      <c r="C117" s="46" t="s">
        <v>3467</v>
      </c>
      <c r="D117" s="46" t="s">
        <v>3468</v>
      </c>
      <c r="E117" s="46" t="s">
        <v>3469</v>
      </c>
      <c r="F117" s="46" t="s">
        <v>3470</v>
      </c>
      <c r="G117" s="46" t="s">
        <v>3471</v>
      </c>
      <c r="H117" s="46" t="s">
        <v>3472</v>
      </c>
      <c r="I117" s="46" t="s">
        <v>3473</v>
      </c>
      <c r="J117" s="46" t="s">
        <v>3474</v>
      </c>
      <c r="K117" s="46" t="s">
        <v>3475</v>
      </c>
      <c r="L117" s="46" t="s">
        <v>3476</v>
      </c>
    </row>
    <row r="118" spans="2:12">
      <c r="B118" s="46" t="s">
        <v>490</v>
      </c>
      <c r="C118" s="46" t="s">
        <v>3477</v>
      </c>
      <c r="D118" s="46" t="s">
        <v>3478</v>
      </c>
      <c r="E118" s="46" t="s">
        <v>3479</v>
      </c>
      <c r="F118" s="46" t="s">
        <v>3480</v>
      </c>
      <c r="G118" s="46" t="s">
        <v>3481</v>
      </c>
      <c r="H118" s="46" t="s">
        <v>3482</v>
      </c>
      <c r="I118" s="46" t="s">
        <v>3483</v>
      </c>
      <c r="J118" s="46" t="s">
        <v>3484</v>
      </c>
      <c r="K118" s="46" t="s">
        <v>3485</v>
      </c>
      <c r="L118" s="46" t="s">
        <v>3486</v>
      </c>
    </row>
    <row r="119" spans="2:12">
      <c r="B119" s="46" t="s">
        <v>489</v>
      </c>
      <c r="C119" s="46" t="s">
        <v>3487</v>
      </c>
      <c r="D119" s="46" t="s">
        <v>3488</v>
      </c>
      <c r="E119" s="46" t="s">
        <v>3489</v>
      </c>
      <c r="F119" s="46" t="s">
        <v>3490</v>
      </c>
      <c r="G119" s="46" t="s">
        <v>3491</v>
      </c>
      <c r="H119" s="46" t="s">
        <v>3492</v>
      </c>
      <c r="I119" s="46" t="s">
        <v>3493</v>
      </c>
      <c r="J119" s="46" t="s">
        <v>3494</v>
      </c>
      <c r="K119" s="46" t="s">
        <v>3495</v>
      </c>
      <c r="L119" s="46" t="s">
        <v>3496</v>
      </c>
    </row>
    <row r="120" spans="2:12">
      <c r="B120" s="46" t="s">
        <v>488</v>
      </c>
      <c r="C120" s="46" t="s">
        <v>3497</v>
      </c>
      <c r="D120" s="46" t="s">
        <v>3498</v>
      </c>
      <c r="E120" s="46" t="s">
        <v>3499</v>
      </c>
      <c r="F120" s="46" t="s">
        <v>3500</v>
      </c>
      <c r="G120" s="46" t="s">
        <v>3501</v>
      </c>
      <c r="H120" s="46" t="s">
        <v>3502</v>
      </c>
      <c r="I120" s="46" t="s">
        <v>3503</v>
      </c>
      <c r="J120" s="46" t="s">
        <v>3504</v>
      </c>
      <c r="K120" s="46" t="s">
        <v>3505</v>
      </c>
      <c r="L120" s="46" t="s">
        <v>3506</v>
      </c>
    </row>
    <row r="121" spans="2:12">
      <c r="B121" s="46" t="s">
        <v>487</v>
      </c>
      <c r="C121" s="46" t="s">
        <v>3507</v>
      </c>
      <c r="D121" s="46" t="s">
        <v>3508</v>
      </c>
      <c r="E121" s="46" t="s">
        <v>3509</v>
      </c>
      <c r="F121" s="46" t="s">
        <v>3510</v>
      </c>
      <c r="G121" s="46" t="s">
        <v>3511</v>
      </c>
      <c r="H121" s="46" t="s">
        <v>3512</v>
      </c>
      <c r="I121" s="46" t="s">
        <v>3513</v>
      </c>
      <c r="J121" s="46" t="s">
        <v>3514</v>
      </c>
      <c r="K121" s="46" t="s">
        <v>3515</v>
      </c>
      <c r="L121" s="46" t="s">
        <v>3516</v>
      </c>
    </row>
    <row r="122" spans="2:12">
      <c r="B122" s="46" t="s">
        <v>486</v>
      </c>
      <c r="C122" s="46" t="s">
        <v>3517</v>
      </c>
      <c r="D122" s="46" t="s">
        <v>3518</v>
      </c>
      <c r="E122" s="46" t="s">
        <v>3519</v>
      </c>
      <c r="F122" s="46" t="s">
        <v>3520</v>
      </c>
      <c r="G122" s="46" t="s">
        <v>3521</v>
      </c>
      <c r="H122" s="46" t="s">
        <v>3522</v>
      </c>
      <c r="I122" s="46" t="s">
        <v>3523</v>
      </c>
      <c r="J122" s="46" t="s">
        <v>3524</v>
      </c>
      <c r="K122" s="46" t="s">
        <v>3525</v>
      </c>
      <c r="L122" s="46" t="s">
        <v>3526</v>
      </c>
    </row>
    <row r="123" spans="2:12">
      <c r="B123" s="46" t="s">
        <v>485</v>
      </c>
      <c r="C123" s="46" t="s">
        <v>3527</v>
      </c>
      <c r="D123" s="46" t="s">
        <v>3528</v>
      </c>
      <c r="E123" s="46" t="s">
        <v>3529</v>
      </c>
      <c r="F123" s="46" t="s">
        <v>3530</v>
      </c>
      <c r="G123" s="46" t="s">
        <v>3531</v>
      </c>
      <c r="H123" s="46" t="s">
        <v>3532</v>
      </c>
      <c r="I123" s="46" t="s">
        <v>3533</v>
      </c>
      <c r="J123" s="46" t="s">
        <v>3534</v>
      </c>
      <c r="K123" s="46" t="s">
        <v>3535</v>
      </c>
      <c r="L123" s="46" t="s">
        <v>3536</v>
      </c>
    </row>
    <row r="124" spans="2:12">
      <c r="B124" s="46" t="s">
        <v>484</v>
      </c>
      <c r="C124" s="46" t="s">
        <v>3537</v>
      </c>
      <c r="D124" s="46" t="s">
        <v>3538</v>
      </c>
      <c r="E124" s="46" t="s">
        <v>3539</v>
      </c>
      <c r="F124" s="46" t="s">
        <v>3540</v>
      </c>
      <c r="G124" s="46" t="s">
        <v>3541</v>
      </c>
      <c r="H124" s="46" t="s">
        <v>3542</v>
      </c>
      <c r="I124" s="46" t="s">
        <v>3543</v>
      </c>
      <c r="J124" s="46" t="s">
        <v>3544</v>
      </c>
      <c r="K124" s="46" t="s">
        <v>3545</v>
      </c>
      <c r="L124" s="46" t="s">
        <v>3546</v>
      </c>
    </row>
    <row r="125" spans="2:12">
      <c r="B125" s="46" t="s">
        <v>483</v>
      </c>
      <c r="C125" s="46" t="s">
        <v>3547</v>
      </c>
      <c r="D125" s="46" t="s">
        <v>3548</v>
      </c>
      <c r="E125" s="46" t="s">
        <v>3549</v>
      </c>
      <c r="F125" s="46" t="s">
        <v>3550</v>
      </c>
      <c r="G125" s="46" t="s">
        <v>3551</v>
      </c>
      <c r="H125" s="46" t="s">
        <v>3552</v>
      </c>
      <c r="I125" s="46" t="s">
        <v>3553</v>
      </c>
      <c r="J125" s="46" t="s">
        <v>3554</v>
      </c>
      <c r="K125" s="46" t="s">
        <v>3555</v>
      </c>
      <c r="L125" s="46" t="s">
        <v>3556</v>
      </c>
    </row>
    <row r="126" spans="2:12">
      <c r="B126" s="46" t="s">
        <v>482</v>
      </c>
      <c r="C126" s="46" t="s">
        <v>3557</v>
      </c>
      <c r="D126" s="46" t="s">
        <v>3558</v>
      </c>
      <c r="E126" s="46" t="s">
        <v>3559</v>
      </c>
      <c r="F126" s="46" t="s">
        <v>3560</v>
      </c>
      <c r="G126" s="46" t="s">
        <v>3561</v>
      </c>
      <c r="H126" s="46" t="s">
        <v>3562</v>
      </c>
      <c r="I126" s="46" t="s">
        <v>3563</v>
      </c>
      <c r="J126" s="46" t="s">
        <v>3564</v>
      </c>
      <c r="K126" s="46" t="s">
        <v>3565</v>
      </c>
      <c r="L126" s="46" t="s">
        <v>3566</v>
      </c>
    </row>
    <row r="127" spans="2:12">
      <c r="B127" s="46" t="s">
        <v>481</v>
      </c>
      <c r="C127" s="46" t="s">
        <v>3567</v>
      </c>
      <c r="D127" s="46" t="s">
        <v>3568</v>
      </c>
      <c r="E127" s="46" t="s">
        <v>3569</v>
      </c>
      <c r="F127" s="46" t="s">
        <v>3570</v>
      </c>
      <c r="G127" s="46" t="s">
        <v>3571</v>
      </c>
      <c r="H127" s="46" t="s">
        <v>3572</v>
      </c>
      <c r="I127" s="46" t="s">
        <v>3573</v>
      </c>
      <c r="J127" s="46" t="s">
        <v>3574</v>
      </c>
      <c r="K127" s="46" t="s">
        <v>3575</v>
      </c>
      <c r="L127" s="46" t="s">
        <v>3576</v>
      </c>
    </row>
    <row r="128" spans="2:12">
      <c r="B128" s="46" t="s">
        <v>480</v>
      </c>
      <c r="C128" s="46" t="s">
        <v>3577</v>
      </c>
      <c r="D128" s="46" t="s">
        <v>3578</v>
      </c>
      <c r="E128" s="46" t="s">
        <v>3579</v>
      </c>
      <c r="F128" s="46" t="s">
        <v>3580</v>
      </c>
      <c r="G128" s="46" t="s">
        <v>3581</v>
      </c>
      <c r="H128" s="46" t="s">
        <v>3582</v>
      </c>
      <c r="I128" s="46" t="s">
        <v>3583</v>
      </c>
      <c r="J128" s="46" t="s">
        <v>3584</v>
      </c>
      <c r="K128" s="46" t="s">
        <v>3585</v>
      </c>
      <c r="L128" s="46" t="s">
        <v>3586</v>
      </c>
    </row>
    <row r="129" spans="2:12">
      <c r="B129" s="46" t="s">
        <v>479</v>
      </c>
      <c r="C129" s="46" t="s">
        <v>3587</v>
      </c>
      <c r="D129" s="46" t="s">
        <v>3588</v>
      </c>
      <c r="E129" s="46" t="s">
        <v>3589</v>
      </c>
      <c r="F129" s="46" t="s">
        <v>3590</v>
      </c>
      <c r="G129" s="46" t="s">
        <v>3591</v>
      </c>
      <c r="H129" s="46" t="s">
        <v>3592</v>
      </c>
      <c r="I129" s="46" t="s">
        <v>3593</v>
      </c>
      <c r="J129" s="46" t="s">
        <v>3594</v>
      </c>
      <c r="K129" s="46" t="s">
        <v>3595</v>
      </c>
      <c r="L129" s="46" t="s">
        <v>3596</v>
      </c>
    </row>
    <row r="130" spans="2:12">
      <c r="B130" s="46" t="s">
        <v>478</v>
      </c>
      <c r="C130" s="46" t="s">
        <v>3597</v>
      </c>
      <c r="D130" s="46" t="s">
        <v>3598</v>
      </c>
      <c r="E130" s="46" t="s">
        <v>3599</v>
      </c>
      <c r="F130" s="46" t="s">
        <v>3600</v>
      </c>
      <c r="G130" s="46" t="s">
        <v>3601</v>
      </c>
      <c r="H130" s="46" t="s">
        <v>3602</v>
      </c>
      <c r="I130" s="46" t="s">
        <v>3603</v>
      </c>
      <c r="J130" s="46" t="s">
        <v>3604</v>
      </c>
      <c r="K130" s="46" t="s">
        <v>3605</v>
      </c>
      <c r="L130" s="46" t="s">
        <v>3606</v>
      </c>
    </row>
    <row r="131" spans="2:12">
      <c r="B131" s="46" t="s">
        <v>477</v>
      </c>
      <c r="C131" s="46" t="s">
        <v>3607</v>
      </c>
      <c r="D131" s="46" t="s">
        <v>3608</v>
      </c>
      <c r="E131" s="46" t="s">
        <v>3609</v>
      </c>
      <c r="F131" s="46" t="s">
        <v>3610</v>
      </c>
      <c r="G131" s="46" t="s">
        <v>3611</v>
      </c>
      <c r="H131" s="46" t="s">
        <v>3612</v>
      </c>
      <c r="I131" s="46" t="s">
        <v>3613</v>
      </c>
      <c r="J131" s="46" t="s">
        <v>3614</v>
      </c>
      <c r="K131" s="46" t="s">
        <v>3615</v>
      </c>
      <c r="L131" s="46" t="s">
        <v>3616</v>
      </c>
    </row>
    <row r="132" spans="2:12">
      <c r="B132" s="46" t="s">
        <v>476</v>
      </c>
      <c r="C132" s="46" t="s">
        <v>3617</v>
      </c>
      <c r="D132" s="46" t="s">
        <v>3618</v>
      </c>
      <c r="E132" s="46" t="s">
        <v>3619</v>
      </c>
      <c r="F132" s="46" t="s">
        <v>3620</v>
      </c>
      <c r="G132" s="46" t="s">
        <v>3621</v>
      </c>
      <c r="H132" s="46" t="s">
        <v>3622</v>
      </c>
      <c r="I132" s="46" t="s">
        <v>3623</v>
      </c>
      <c r="J132" s="46" t="s">
        <v>3624</v>
      </c>
      <c r="K132" s="46" t="s">
        <v>3625</v>
      </c>
      <c r="L132" s="46" t="s">
        <v>3626</v>
      </c>
    </row>
    <row r="133" spans="2:12">
      <c r="B133" s="46" t="s">
        <v>475</v>
      </c>
      <c r="C133" s="46" t="s">
        <v>3627</v>
      </c>
      <c r="D133" s="46" t="s">
        <v>3628</v>
      </c>
      <c r="E133" s="46" t="s">
        <v>3629</v>
      </c>
      <c r="F133" s="46" t="s">
        <v>3630</v>
      </c>
      <c r="G133" s="46" t="s">
        <v>3631</v>
      </c>
      <c r="H133" s="46" t="s">
        <v>3632</v>
      </c>
      <c r="I133" s="46" t="s">
        <v>3633</v>
      </c>
      <c r="J133" s="46" t="s">
        <v>3634</v>
      </c>
      <c r="K133" s="46" t="s">
        <v>3635</v>
      </c>
      <c r="L133" s="46" t="s">
        <v>3636</v>
      </c>
    </row>
    <row r="134" spans="2:12">
      <c r="B134" s="46" t="s">
        <v>474</v>
      </c>
      <c r="C134" s="46" t="s">
        <v>3637</v>
      </c>
      <c r="D134" s="46" t="s">
        <v>3638</v>
      </c>
      <c r="E134" s="46" t="s">
        <v>3639</v>
      </c>
      <c r="F134" s="46" t="s">
        <v>3640</v>
      </c>
      <c r="G134" s="46" t="s">
        <v>3641</v>
      </c>
      <c r="H134" s="46" t="s">
        <v>3642</v>
      </c>
      <c r="I134" s="46" t="s">
        <v>3643</v>
      </c>
      <c r="J134" s="46" t="s">
        <v>3644</v>
      </c>
      <c r="K134" s="46" t="s">
        <v>3645</v>
      </c>
      <c r="L134" s="46" t="s">
        <v>3646</v>
      </c>
    </row>
    <row r="135" spans="2:12">
      <c r="B135" s="46" t="s">
        <v>473</v>
      </c>
      <c r="C135" s="46" t="s">
        <v>3647</v>
      </c>
      <c r="D135" s="46" t="s">
        <v>3648</v>
      </c>
      <c r="E135" s="46" t="s">
        <v>3649</v>
      </c>
      <c r="F135" s="46" t="s">
        <v>3650</v>
      </c>
      <c r="G135" s="46" t="s">
        <v>3651</v>
      </c>
      <c r="H135" s="46" t="s">
        <v>3652</v>
      </c>
      <c r="I135" s="46" t="s">
        <v>3653</v>
      </c>
      <c r="J135" s="46" t="s">
        <v>3654</v>
      </c>
      <c r="K135" s="46" t="s">
        <v>3655</v>
      </c>
      <c r="L135" s="46" t="s">
        <v>3656</v>
      </c>
    </row>
    <row r="136" spans="2:12">
      <c r="B136" s="46" t="s">
        <v>472</v>
      </c>
      <c r="C136" s="46" t="s">
        <v>3657</v>
      </c>
      <c r="D136" s="46" t="s">
        <v>3658</v>
      </c>
      <c r="E136" s="46" t="s">
        <v>3659</v>
      </c>
      <c r="F136" s="46" t="s">
        <v>3660</v>
      </c>
      <c r="G136" s="46" t="s">
        <v>3661</v>
      </c>
      <c r="H136" s="46" t="s">
        <v>3662</v>
      </c>
      <c r="I136" s="46" t="s">
        <v>3663</v>
      </c>
      <c r="J136" s="46" t="s">
        <v>3664</v>
      </c>
      <c r="K136" s="46" t="s">
        <v>3665</v>
      </c>
      <c r="L136" s="46" t="s">
        <v>3666</v>
      </c>
    </row>
    <row r="137" spans="2:12">
      <c r="B137" s="46" t="s">
        <v>471</v>
      </c>
      <c r="C137" s="46" t="s">
        <v>3667</v>
      </c>
      <c r="D137" s="46" t="s">
        <v>3668</v>
      </c>
      <c r="E137" s="46" t="s">
        <v>3669</v>
      </c>
      <c r="F137" s="46" t="s">
        <v>3670</v>
      </c>
      <c r="G137" s="46" t="s">
        <v>3671</v>
      </c>
      <c r="H137" s="46" t="s">
        <v>3672</v>
      </c>
      <c r="I137" s="46" t="s">
        <v>3673</v>
      </c>
      <c r="J137" s="46" t="s">
        <v>3674</v>
      </c>
      <c r="K137" s="46" t="s">
        <v>3675</v>
      </c>
      <c r="L137" s="46" t="s">
        <v>3676</v>
      </c>
    </row>
    <row r="138" spans="2:12">
      <c r="B138" s="46" t="s">
        <v>470</v>
      </c>
      <c r="C138" s="46" t="s">
        <v>3677</v>
      </c>
      <c r="D138" s="46" t="s">
        <v>3678</v>
      </c>
      <c r="E138" s="46" t="s">
        <v>3679</v>
      </c>
      <c r="F138" s="46" t="s">
        <v>3680</v>
      </c>
      <c r="G138" s="46" t="s">
        <v>3681</v>
      </c>
      <c r="H138" s="46" t="s">
        <v>3682</v>
      </c>
      <c r="I138" s="46" t="s">
        <v>3683</v>
      </c>
      <c r="J138" s="46" t="s">
        <v>3684</v>
      </c>
      <c r="K138" s="46" t="s">
        <v>3685</v>
      </c>
      <c r="L138" s="46" t="s">
        <v>3686</v>
      </c>
    </row>
    <row r="139" spans="2:12">
      <c r="B139" s="46" t="s">
        <v>469</v>
      </c>
      <c r="C139" s="46" t="s">
        <v>3687</v>
      </c>
      <c r="D139" s="46" t="s">
        <v>3688</v>
      </c>
      <c r="E139" s="46" t="s">
        <v>3689</v>
      </c>
      <c r="F139" s="46" t="s">
        <v>3690</v>
      </c>
      <c r="G139" s="46" t="s">
        <v>3691</v>
      </c>
      <c r="H139" s="46" t="s">
        <v>3692</v>
      </c>
      <c r="I139" s="46" t="s">
        <v>3693</v>
      </c>
      <c r="J139" s="46" t="s">
        <v>3694</v>
      </c>
      <c r="K139" s="46" t="s">
        <v>3695</v>
      </c>
      <c r="L139" s="46" t="s">
        <v>3696</v>
      </c>
    </row>
    <row r="140" spans="2:12">
      <c r="B140" s="46" t="s">
        <v>468</v>
      </c>
      <c r="C140" s="46" t="s">
        <v>3697</v>
      </c>
      <c r="D140" s="46" t="s">
        <v>3698</v>
      </c>
      <c r="E140" s="46" t="s">
        <v>3699</v>
      </c>
      <c r="F140" s="46" t="s">
        <v>3700</v>
      </c>
      <c r="G140" s="46" t="s">
        <v>3701</v>
      </c>
      <c r="H140" s="46" t="s">
        <v>3702</v>
      </c>
      <c r="I140" s="46" t="s">
        <v>3703</v>
      </c>
      <c r="J140" s="46" t="s">
        <v>3704</v>
      </c>
      <c r="K140" s="46" t="s">
        <v>3705</v>
      </c>
      <c r="L140" s="46" t="s">
        <v>3706</v>
      </c>
    </row>
    <row r="141" spans="2:12">
      <c r="B141" s="46" t="s">
        <v>467</v>
      </c>
      <c r="C141" s="46" t="s">
        <v>3707</v>
      </c>
      <c r="D141" s="46" t="s">
        <v>3708</v>
      </c>
      <c r="E141" s="46" t="s">
        <v>3709</v>
      </c>
      <c r="F141" s="46" t="s">
        <v>3710</v>
      </c>
      <c r="G141" s="46" t="s">
        <v>3711</v>
      </c>
      <c r="H141" s="46" t="s">
        <v>3712</v>
      </c>
      <c r="I141" s="46" t="s">
        <v>3713</v>
      </c>
      <c r="J141" s="46" t="s">
        <v>3714</v>
      </c>
      <c r="K141" s="46" t="s">
        <v>3715</v>
      </c>
      <c r="L141" s="46" t="s">
        <v>3716</v>
      </c>
    </row>
    <row r="142" spans="2:12">
      <c r="B142" s="46" t="s">
        <v>466</v>
      </c>
      <c r="C142" s="46" t="s">
        <v>3717</v>
      </c>
      <c r="D142" s="46" t="s">
        <v>3718</v>
      </c>
      <c r="E142" s="46" t="s">
        <v>3719</v>
      </c>
      <c r="F142" s="46" t="s">
        <v>3720</v>
      </c>
      <c r="G142" s="46" t="s">
        <v>3721</v>
      </c>
      <c r="H142" s="46" t="s">
        <v>3722</v>
      </c>
      <c r="I142" s="46" t="s">
        <v>3723</v>
      </c>
      <c r="J142" s="46" t="s">
        <v>3724</v>
      </c>
      <c r="K142" s="46" t="s">
        <v>3725</v>
      </c>
      <c r="L142" s="46" t="s">
        <v>3726</v>
      </c>
    </row>
    <row r="143" spans="2:12">
      <c r="B143" s="46" t="s">
        <v>465</v>
      </c>
      <c r="C143" s="46" t="s">
        <v>3727</v>
      </c>
      <c r="D143" s="46" t="s">
        <v>3728</v>
      </c>
      <c r="E143" s="46" t="s">
        <v>3729</v>
      </c>
      <c r="F143" s="46" t="s">
        <v>3730</v>
      </c>
      <c r="G143" s="46" t="s">
        <v>3731</v>
      </c>
      <c r="H143" s="46" t="s">
        <v>3732</v>
      </c>
      <c r="I143" s="46" t="s">
        <v>3733</v>
      </c>
      <c r="J143" s="46" t="s">
        <v>3734</v>
      </c>
      <c r="K143" s="46" t="s">
        <v>3735</v>
      </c>
      <c r="L143" s="46" t="s">
        <v>3736</v>
      </c>
    </row>
    <row r="144" spans="2:12">
      <c r="B144" s="46" t="s">
        <v>464</v>
      </c>
      <c r="C144" s="46" t="s">
        <v>3737</v>
      </c>
      <c r="D144" s="46" t="s">
        <v>3738</v>
      </c>
      <c r="E144" s="46" t="s">
        <v>3739</v>
      </c>
      <c r="F144" s="46" t="s">
        <v>3740</v>
      </c>
      <c r="G144" s="46" t="s">
        <v>3741</v>
      </c>
      <c r="H144" s="46" t="s">
        <v>3742</v>
      </c>
      <c r="I144" s="46" t="s">
        <v>3743</v>
      </c>
      <c r="J144" s="46" t="s">
        <v>3744</v>
      </c>
      <c r="K144" s="46" t="s">
        <v>3745</v>
      </c>
      <c r="L144" s="46" t="s">
        <v>3746</v>
      </c>
    </row>
    <row r="145" spans="2:12">
      <c r="B145" s="46" t="s">
        <v>463</v>
      </c>
      <c r="C145" s="46" t="s">
        <v>3747</v>
      </c>
      <c r="D145" s="46" t="s">
        <v>3748</v>
      </c>
      <c r="E145" s="46" t="s">
        <v>3749</v>
      </c>
      <c r="F145" s="46" t="s">
        <v>3750</v>
      </c>
      <c r="G145" s="46" t="s">
        <v>3751</v>
      </c>
      <c r="H145" s="46" t="s">
        <v>3752</v>
      </c>
      <c r="I145" s="46" t="s">
        <v>3753</v>
      </c>
      <c r="J145" s="46" t="s">
        <v>3754</v>
      </c>
      <c r="K145" s="46" t="s">
        <v>3755</v>
      </c>
      <c r="L145" s="46" t="s">
        <v>3756</v>
      </c>
    </row>
    <row r="146" spans="2:12">
      <c r="B146" s="46" t="s">
        <v>462</v>
      </c>
      <c r="C146" s="46" t="s">
        <v>3757</v>
      </c>
      <c r="D146" s="46" t="s">
        <v>3758</v>
      </c>
      <c r="E146" s="46" t="s">
        <v>3759</v>
      </c>
      <c r="F146" s="46" t="s">
        <v>3760</v>
      </c>
      <c r="G146" s="46" t="s">
        <v>3761</v>
      </c>
      <c r="H146" s="46" t="s">
        <v>3762</v>
      </c>
      <c r="I146" s="46" t="s">
        <v>3763</v>
      </c>
      <c r="J146" s="46" t="s">
        <v>3764</v>
      </c>
      <c r="K146" s="46" t="s">
        <v>3765</v>
      </c>
      <c r="L146" s="46" t="s">
        <v>3766</v>
      </c>
    </row>
    <row r="147" spans="2:12">
      <c r="B147" s="46" t="s">
        <v>461</v>
      </c>
      <c r="C147" s="46" t="s">
        <v>3767</v>
      </c>
      <c r="D147" s="46" t="s">
        <v>3768</v>
      </c>
      <c r="E147" s="46" t="s">
        <v>3769</v>
      </c>
      <c r="F147" s="46" t="s">
        <v>3770</v>
      </c>
      <c r="G147" s="46" t="s">
        <v>3771</v>
      </c>
      <c r="H147" s="46" t="s">
        <v>3772</v>
      </c>
      <c r="I147" s="46" t="s">
        <v>3773</v>
      </c>
      <c r="J147" s="46" t="s">
        <v>3774</v>
      </c>
      <c r="K147" s="46" t="s">
        <v>3775</v>
      </c>
      <c r="L147" s="46" t="s">
        <v>3776</v>
      </c>
    </row>
    <row r="148" spans="2:12">
      <c r="B148" s="46" t="s">
        <v>460</v>
      </c>
      <c r="C148" s="46" t="s">
        <v>3777</v>
      </c>
      <c r="D148" s="46" t="s">
        <v>3778</v>
      </c>
      <c r="E148" s="46" t="s">
        <v>3779</v>
      </c>
      <c r="F148" s="46" t="s">
        <v>3780</v>
      </c>
      <c r="G148" s="46" t="s">
        <v>3781</v>
      </c>
      <c r="H148" s="46" t="s">
        <v>3782</v>
      </c>
      <c r="I148" s="46" t="s">
        <v>3783</v>
      </c>
      <c r="J148" s="46" t="s">
        <v>3784</v>
      </c>
      <c r="K148" s="46" t="s">
        <v>3785</v>
      </c>
      <c r="L148" s="46" t="s">
        <v>3786</v>
      </c>
    </row>
    <row r="149" spans="2:12">
      <c r="B149" s="46" t="s">
        <v>459</v>
      </c>
      <c r="C149" s="46" t="s">
        <v>3787</v>
      </c>
      <c r="D149" s="46" t="s">
        <v>3788</v>
      </c>
      <c r="E149" s="46" t="s">
        <v>3789</v>
      </c>
      <c r="F149" s="46" t="s">
        <v>3790</v>
      </c>
      <c r="G149" s="46" t="s">
        <v>3791</v>
      </c>
      <c r="H149" s="46" t="s">
        <v>3792</v>
      </c>
      <c r="I149" s="46" t="s">
        <v>3793</v>
      </c>
      <c r="J149" s="46" t="s">
        <v>3794</v>
      </c>
      <c r="K149" s="46" t="s">
        <v>3795</v>
      </c>
      <c r="L149" s="46" t="s">
        <v>3796</v>
      </c>
    </row>
    <row r="150" spans="2:12">
      <c r="B150" s="46" t="s">
        <v>458</v>
      </c>
      <c r="C150" s="46" t="s">
        <v>3797</v>
      </c>
      <c r="D150" s="46" t="s">
        <v>3798</v>
      </c>
      <c r="E150" s="46" t="s">
        <v>3799</v>
      </c>
      <c r="F150" s="46" t="s">
        <v>3800</v>
      </c>
      <c r="G150" s="46" t="s">
        <v>3801</v>
      </c>
      <c r="H150" s="46" t="s">
        <v>3802</v>
      </c>
      <c r="I150" s="46" t="s">
        <v>3803</v>
      </c>
      <c r="J150" s="46" t="s">
        <v>3804</v>
      </c>
      <c r="K150" s="46" t="s">
        <v>3805</v>
      </c>
      <c r="L150" s="46" t="s">
        <v>3806</v>
      </c>
    </row>
    <row r="151" spans="2:12">
      <c r="B151" s="46" t="s">
        <v>457</v>
      </c>
      <c r="C151" s="46" t="s">
        <v>3807</v>
      </c>
      <c r="D151" s="46" t="s">
        <v>3808</v>
      </c>
      <c r="E151" s="46" t="s">
        <v>3809</v>
      </c>
      <c r="F151" s="46" t="s">
        <v>3810</v>
      </c>
      <c r="G151" s="46" t="s">
        <v>3811</v>
      </c>
      <c r="H151" s="46" t="s">
        <v>3812</v>
      </c>
      <c r="I151" s="46" t="s">
        <v>3813</v>
      </c>
      <c r="J151" s="46" t="s">
        <v>3814</v>
      </c>
      <c r="K151" s="46" t="s">
        <v>3815</v>
      </c>
      <c r="L151" s="46" t="s">
        <v>3816</v>
      </c>
    </row>
    <row r="152" spans="2:12">
      <c r="B152" s="46" t="s">
        <v>456</v>
      </c>
      <c r="C152" s="46" t="s">
        <v>3817</v>
      </c>
      <c r="D152" s="46" t="s">
        <v>3818</v>
      </c>
      <c r="E152" s="46" t="s">
        <v>3819</v>
      </c>
      <c r="F152" s="46" t="s">
        <v>3820</v>
      </c>
      <c r="G152" s="46" t="s">
        <v>3821</v>
      </c>
      <c r="H152" s="46" t="s">
        <v>3822</v>
      </c>
      <c r="I152" s="46" t="s">
        <v>3823</v>
      </c>
      <c r="J152" s="46" t="s">
        <v>3824</v>
      </c>
      <c r="K152" s="46" t="s">
        <v>3825</v>
      </c>
      <c r="L152" s="46" t="s">
        <v>3826</v>
      </c>
    </row>
    <row r="153" spans="2:12">
      <c r="B153" s="46" t="s">
        <v>455</v>
      </c>
      <c r="C153" s="46" t="s">
        <v>3827</v>
      </c>
      <c r="D153" s="46" t="s">
        <v>3828</v>
      </c>
      <c r="E153" s="46" t="s">
        <v>3829</v>
      </c>
      <c r="F153" s="46" t="s">
        <v>3830</v>
      </c>
      <c r="G153" s="46" t="s">
        <v>3831</v>
      </c>
      <c r="H153" s="46" t="s">
        <v>3832</v>
      </c>
      <c r="I153" s="46" t="s">
        <v>3833</v>
      </c>
      <c r="J153" s="46" t="s">
        <v>3834</v>
      </c>
      <c r="K153" s="46" t="s">
        <v>3835</v>
      </c>
      <c r="L153" s="46" t="s">
        <v>3836</v>
      </c>
    </row>
    <row r="154" spans="2:12">
      <c r="B154" s="46" t="s">
        <v>454</v>
      </c>
      <c r="C154" s="46" t="s">
        <v>3837</v>
      </c>
      <c r="D154" s="46" t="s">
        <v>3838</v>
      </c>
      <c r="E154" s="46" t="s">
        <v>3839</v>
      </c>
      <c r="F154" s="46" t="s">
        <v>3840</v>
      </c>
      <c r="G154" s="46" t="s">
        <v>3841</v>
      </c>
      <c r="H154" s="46" t="s">
        <v>3842</v>
      </c>
      <c r="I154" s="46" t="s">
        <v>3843</v>
      </c>
      <c r="J154" s="46" t="s">
        <v>3844</v>
      </c>
      <c r="K154" s="46" t="s">
        <v>3845</v>
      </c>
      <c r="L154" s="46" t="s">
        <v>3846</v>
      </c>
    </row>
    <row r="155" spans="2:12">
      <c r="B155" s="46" t="s">
        <v>453</v>
      </c>
      <c r="C155" s="46" t="s">
        <v>3847</v>
      </c>
      <c r="D155" s="46" t="s">
        <v>3848</v>
      </c>
      <c r="E155" s="46" t="s">
        <v>3849</v>
      </c>
      <c r="F155" s="46" t="s">
        <v>3850</v>
      </c>
      <c r="G155" s="46" t="s">
        <v>3851</v>
      </c>
      <c r="H155" s="46" t="s">
        <v>3852</v>
      </c>
      <c r="I155" s="46" t="s">
        <v>3853</v>
      </c>
      <c r="J155" s="46" t="s">
        <v>3854</v>
      </c>
      <c r="K155" s="46" t="s">
        <v>3855</v>
      </c>
      <c r="L155" s="46" t="s">
        <v>3856</v>
      </c>
    </row>
    <row r="156" spans="2:12">
      <c r="B156" s="46" t="s">
        <v>452</v>
      </c>
      <c r="C156" s="46" t="s">
        <v>3857</v>
      </c>
      <c r="D156" s="46" t="s">
        <v>3858</v>
      </c>
      <c r="E156" s="46" t="s">
        <v>3859</v>
      </c>
      <c r="F156" s="46" t="s">
        <v>3860</v>
      </c>
      <c r="G156" s="46" t="s">
        <v>3861</v>
      </c>
      <c r="H156" s="46" t="s">
        <v>3862</v>
      </c>
      <c r="I156" s="46" t="s">
        <v>3863</v>
      </c>
      <c r="J156" s="46" t="s">
        <v>3864</v>
      </c>
      <c r="K156" s="46" t="s">
        <v>3865</v>
      </c>
      <c r="L156" s="46" t="s">
        <v>3866</v>
      </c>
    </row>
    <row r="157" spans="2:12">
      <c r="B157" s="46" t="s">
        <v>451</v>
      </c>
      <c r="C157" s="46" t="s">
        <v>3867</v>
      </c>
      <c r="D157" s="46" t="s">
        <v>3868</v>
      </c>
      <c r="E157" s="46" t="s">
        <v>3869</v>
      </c>
      <c r="F157" s="46" t="s">
        <v>3870</v>
      </c>
      <c r="G157" s="46" t="s">
        <v>3871</v>
      </c>
      <c r="H157" s="46" t="s">
        <v>3872</v>
      </c>
      <c r="I157" s="46" t="s">
        <v>3873</v>
      </c>
      <c r="J157" s="46" t="s">
        <v>3874</v>
      </c>
      <c r="K157" s="46" t="s">
        <v>3875</v>
      </c>
      <c r="L157" s="46" t="s">
        <v>3876</v>
      </c>
    </row>
    <row r="158" spans="2:12">
      <c r="B158" s="46" t="s">
        <v>450</v>
      </c>
      <c r="C158" s="46" t="s">
        <v>3877</v>
      </c>
      <c r="D158" s="46" t="s">
        <v>3878</v>
      </c>
      <c r="E158" s="46" t="s">
        <v>3879</v>
      </c>
      <c r="F158" s="46" t="s">
        <v>3880</v>
      </c>
      <c r="G158" s="46" t="s">
        <v>3881</v>
      </c>
      <c r="H158" s="46" t="s">
        <v>3882</v>
      </c>
      <c r="I158" s="46" t="s">
        <v>3883</v>
      </c>
      <c r="J158" s="46" t="s">
        <v>3884</v>
      </c>
      <c r="K158" s="46" t="s">
        <v>3885</v>
      </c>
      <c r="L158" s="46" t="s">
        <v>3886</v>
      </c>
    </row>
    <row r="159" spans="2:12">
      <c r="B159" s="46" t="s">
        <v>449</v>
      </c>
      <c r="C159" s="46" t="s">
        <v>3887</v>
      </c>
      <c r="D159" s="46" t="s">
        <v>3888</v>
      </c>
      <c r="E159" s="46" t="s">
        <v>3889</v>
      </c>
      <c r="F159" s="46" t="s">
        <v>3890</v>
      </c>
      <c r="G159" s="46" t="s">
        <v>3891</v>
      </c>
      <c r="H159" s="46" t="s">
        <v>3892</v>
      </c>
      <c r="I159" s="46" t="s">
        <v>3893</v>
      </c>
      <c r="J159" s="46" t="s">
        <v>3894</v>
      </c>
      <c r="K159" s="46" t="s">
        <v>3895</v>
      </c>
      <c r="L159" s="46" t="s">
        <v>3896</v>
      </c>
    </row>
    <row r="160" spans="2:12">
      <c r="B160" s="46" t="s">
        <v>448</v>
      </c>
      <c r="C160" s="46" t="s">
        <v>3897</v>
      </c>
      <c r="D160" s="46" t="s">
        <v>3898</v>
      </c>
      <c r="E160" s="46" t="s">
        <v>3899</v>
      </c>
      <c r="F160" s="46" t="s">
        <v>3900</v>
      </c>
      <c r="G160" s="46" t="s">
        <v>3901</v>
      </c>
      <c r="H160" s="46" t="s">
        <v>3902</v>
      </c>
      <c r="I160" s="46" t="s">
        <v>3903</v>
      </c>
      <c r="J160" s="46" t="s">
        <v>3904</v>
      </c>
      <c r="K160" s="46" t="s">
        <v>3905</v>
      </c>
      <c r="L160" s="46" t="s">
        <v>3906</v>
      </c>
    </row>
    <row r="161" spans="2:12">
      <c r="B161" s="46" t="s">
        <v>447</v>
      </c>
      <c r="C161" s="46" t="s">
        <v>3907</v>
      </c>
      <c r="D161" s="46" t="s">
        <v>3908</v>
      </c>
      <c r="E161" s="46" t="s">
        <v>3909</v>
      </c>
      <c r="F161" s="46" t="s">
        <v>3910</v>
      </c>
      <c r="G161" s="46" t="s">
        <v>3911</v>
      </c>
      <c r="H161" s="46" t="s">
        <v>3912</v>
      </c>
      <c r="I161" s="46" t="s">
        <v>3913</v>
      </c>
      <c r="J161" s="46" t="s">
        <v>3914</v>
      </c>
      <c r="K161" s="46" t="s">
        <v>3915</v>
      </c>
      <c r="L161" s="46" t="s">
        <v>3916</v>
      </c>
    </row>
    <row r="162" spans="2:12">
      <c r="B162" s="46" t="s">
        <v>446</v>
      </c>
      <c r="C162" s="46" t="s">
        <v>3917</v>
      </c>
      <c r="D162" s="46" t="s">
        <v>3918</v>
      </c>
      <c r="E162" s="46" t="s">
        <v>3919</v>
      </c>
      <c r="F162" s="46" t="s">
        <v>3920</v>
      </c>
      <c r="G162" s="46" t="s">
        <v>3921</v>
      </c>
      <c r="H162" s="46" t="s">
        <v>3922</v>
      </c>
      <c r="I162" s="46" t="s">
        <v>3923</v>
      </c>
      <c r="J162" s="46" t="s">
        <v>3924</v>
      </c>
      <c r="K162" s="46" t="s">
        <v>3925</v>
      </c>
      <c r="L162" s="46" t="s">
        <v>3926</v>
      </c>
    </row>
    <row r="163" spans="2:12">
      <c r="B163" s="46" t="s">
        <v>445</v>
      </c>
      <c r="C163" s="46" t="s">
        <v>3927</v>
      </c>
      <c r="D163" s="46" t="s">
        <v>3928</v>
      </c>
      <c r="E163" s="46" t="s">
        <v>3929</v>
      </c>
      <c r="F163" s="46" t="s">
        <v>3930</v>
      </c>
      <c r="G163" s="46" t="s">
        <v>3931</v>
      </c>
      <c r="H163" s="46" t="s">
        <v>3932</v>
      </c>
      <c r="I163" s="46" t="s">
        <v>3933</v>
      </c>
      <c r="J163" s="46" t="s">
        <v>3934</v>
      </c>
      <c r="K163" s="46" t="s">
        <v>3935</v>
      </c>
      <c r="L163" s="46" t="s">
        <v>3936</v>
      </c>
    </row>
    <row r="164" spans="2:12">
      <c r="B164" s="46" t="s">
        <v>444</v>
      </c>
      <c r="C164" s="46" t="s">
        <v>3937</v>
      </c>
      <c r="D164" s="46" t="s">
        <v>3938</v>
      </c>
      <c r="E164" s="46" t="s">
        <v>3939</v>
      </c>
      <c r="F164" s="46" t="s">
        <v>3940</v>
      </c>
      <c r="G164" s="46" t="s">
        <v>3941</v>
      </c>
      <c r="H164" s="46" t="s">
        <v>3942</v>
      </c>
      <c r="I164" s="46" t="s">
        <v>3943</v>
      </c>
      <c r="J164" s="46" t="s">
        <v>3944</v>
      </c>
      <c r="K164" s="46" t="s">
        <v>3945</v>
      </c>
      <c r="L164" s="46" t="s">
        <v>3946</v>
      </c>
    </row>
    <row r="165" spans="2:12">
      <c r="B165" s="46" t="s">
        <v>443</v>
      </c>
      <c r="C165" s="46" t="s">
        <v>3947</v>
      </c>
      <c r="D165" s="46" t="s">
        <v>3948</v>
      </c>
      <c r="E165" s="46" t="s">
        <v>3949</v>
      </c>
      <c r="F165" s="46" t="s">
        <v>3950</v>
      </c>
      <c r="G165" s="46" t="s">
        <v>3951</v>
      </c>
      <c r="H165" s="46" t="s">
        <v>3952</v>
      </c>
      <c r="I165" s="46" t="s">
        <v>3953</v>
      </c>
      <c r="J165" s="46" t="s">
        <v>3954</v>
      </c>
      <c r="K165" s="46" t="s">
        <v>3955</v>
      </c>
      <c r="L165" s="46" t="s">
        <v>3956</v>
      </c>
    </row>
    <row r="166" spans="2:12">
      <c r="B166" s="46" t="s">
        <v>442</v>
      </c>
      <c r="C166" s="46" t="s">
        <v>3957</v>
      </c>
      <c r="D166" s="46" t="s">
        <v>3958</v>
      </c>
      <c r="E166" s="46" t="s">
        <v>3959</v>
      </c>
      <c r="F166" s="46" t="s">
        <v>3960</v>
      </c>
      <c r="G166" s="46" t="s">
        <v>3961</v>
      </c>
      <c r="H166" s="46" t="s">
        <v>3962</v>
      </c>
      <c r="I166" s="46" t="s">
        <v>3963</v>
      </c>
      <c r="J166" s="46" t="s">
        <v>3964</v>
      </c>
      <c r="K166" s="46" t="s">
        <v>3965</v>
      </c>
      <c r="L166" s="46" t="s">
        <v>3966</v>
      </c>
    </row>
    <row r="167" spans="2:12">
      <c r="B167" s="46" t="s">
        <v>441</v>
      </c>
      <c r="C167" s="46" t="s">
        <v>3967</v>
      </c>
      <c r="D167" s="46" t="s">
        <v>3968</v>
      </c>
      <c r="E167" s="46" t="s">
        <v>3969</v>
      </c>
      <c r="F167" s="46" t="s">
        <v>3970</v>
      </c>
      <c r="G167" s="46" t="s">
        <v>3971</v>
      </c>
      <c r="H167" s="46" t="s">
        <v>3972</v>
      </c>
      <c r="I167" s="46" t="s">
        <v>3973</v>
      </c>
      <c r="J167" s="46" t="s">
        <v>3974</v>
      </c>
      <c r="K167" s="46" t="s">
        <v>3975</v>
      </c>
      <c r="L167" s="46" t="s">
        <v>3976</v>
      </c>
    </row>
    <row r="168" spans="2:12">
      <c r="B168" s="46" t="s">
        <v>440</v>
      </c>
      <c r="C168" s="46" t="s">
        <v>3977</v>
      </c>
      <c r="D168" s="46" t="s">
        <v>3978</v>
      </c>
      <c r="E168" s="46" t="s">
        <v>3979</v>
      </c>
      <c r="F168" s="46" t="s">
        <v>3980</v>
      </c>
      <c r="G168" s="46" t="s">
        <v>3981</v>
      </c>
      <c r="H168" s="46" t="s">
        <v>3982</v>
      </c>
      <c r="I168" s="46" t="s">
        <v>3983</v>
      </c>
      <c r="J168" s="46" t="s">
        <v>3984</v>
      </c>
      <c r="K168" s="46" t="s">
        <v>3985</v>
      </c>
      <c r="L168" s="46" t="s">
        <v>3986</v>
      </c>
    </row>
    <row r="169" spans="2:12">
      <c r="B169" s="46" t="s">
        <v>439</v>
      </c>
      <c r="C169" s="46" t="s">
        <v>3987</v>
      </c>
      <c r="D169" s="46" t="s">
        <v>3988</v>
      </c>
      <c r="E169" s="46" t="s">
        <v>3989</v>
      </c>
      <c r="F169" s="46" t="s">
        <v>3990</v>
      </c>
      <c r="G169" s="46" t="s">
        <v>3991</v>
      </c>
      <c r="H169" s="46" t="s">
        <v>3992</v>
      </c>
      <c r="I169" s="46" t="s">
        <v>3993</v>
      </c>
      <c r="J169" s="46" t="s">
        <v>3994</v>
      </c>
      <c r="K169" s="46" t="s">
        <v>3995</v>
      </c>
      <c r="L169" s="46" t="s">
        <v>3996</v>
      </c>
    </row>
    <row r="170" spans="2:12">
      <c r="B170" s="46" t="s">
        <v>438</v>
      </c>
      <c r="C170" s="46" t="s">
        <v>3997</v>
      </c>
      <c r="D170" s="46" t="s">
        <v>3998</v>
      </c>
      <c r="E170" s="46" t="s">
        <v>3999</v>
      </c>
      <c r="F170" s="46" t="s">
        <v>4000</v>
      </c>
      <c r="G170" s="46" t="s">
        <v>4001</v>
      </c>
      <c r="H170" s="46" t="s">
        <v>4002</v>
      </c>
      <c r="I170" s="46" t="s">
        <v>4003</v>
      </c>
      <c r="J170" s="46" t="s">
        <v>4004</v>
      </c>
      <c r="K170" s="46" t="s">
        <v>4005</v>
      </c>
      <c r="L170" s="46" t="s">
        <v>4006</v>
      </c>
    </row>
    <row r="171" spans="2:12">
      <c r="B171" s="46" t="s">
        <v>437</v>
      </c>
      <c r="C171" s="46" t="s">
        <v>4007</v>
      </c>
      <c r="D171" s="46" t="s">
        <v>4008</v>
      </c>
      <c r="E171" s="46" t="s">
        <v>4009</v>
      </c>
      <c r="F171" s="46" t="s">
        <v>4010</v>
      </c>
      <c r="G171" s="46" t="s">
        <v>4011</v>
      </c>
      <c r="H171" s="46" t="s">
        <v>4012</v>
      </c>
      <c r="I171" s="46" t="s">
        <v>4013</v>
      </c>
      <c r="J171" s="46" t="s">
        <v>4014</v>
      </c>
      <c r="K171" s="46" t="s">
        <v>4015</v>
      </c>
      <c r="L171" s="46" t="s">
        <v>4016</v>
      </c>
    </row>
    <row r="172" spans="2:12">
      <c r="B172" s="46" t="s">
        <v>436</v>
      </c>
      <c r="C172" s="46" t="s">
        <v>4017</v>
      </c>
      <c r="D172" s="46" t="s">
        <v>4018</v>
      </c>
      <c r="E172" s="46" t="s">
        <v>4019</v>
      </c>
      <c r="F172" s="46" t="s">
        <v>4020</v>
      </c>
      <c r="G172" s="46" t="s">
        <v>4021</v>
      </c>
      <c r="H172" s="46" t="s">
        <v>4022</v>
      </c>
      <c r="I172" s="46" t="s">
        <v>4023</v>
      </c>
      <c r="J172" s="46" t="s">
        <v>4024</v>
      </c>
      <c r="K172" s="46" t="s">
        <v>4025</v>
      </c>
      <c r="L172" s="46" t="s">
        <v>4026</v>
      </c>
    </row>
    <row r="173" spans="2:12">
      <c r="B173" s="46" t="s">
        <v>435</v>
      </c>
      <c r="C173" s="46" t="s">
        <v>4027</v>
      </c>
      <c r="D173" s="46" t="s">
        <v>4028</v>
      </c>
      <c r="E173" s="46" t="s">
        <v>4029</v>
      </c>
      <c r="F173" s="46" t="s">
        <v>4030</v>
      </c>
      <c r="G173" s="46" t="s">
        <v>4031</v>
      </c>
      <c r="H173" s="46" t="s">
        <v>4032</v>
      </c>
      <c r="I173" s="46" t="s">
        <v>4033</v>
      </c>
      <c r="J173" s="46" t="s">
        <v>4034</v>
      </c>
      <c r="K173" s="46" t="s">
        <v>4035</v>
      </c>
      <c r="L173" s="46" t="s">
        <v>4036</v>
      </c>
    </row>
    <row r="174" spans="2:12">
      <c r="B174" s="46" t="s">
        <v>434</v>
      </c>
      <c r="C174" s="46" t="s">
        <v>4037</v>
      </c>
      <c r="D174" s="46" t="s">
        <v>4038</v>
      </c>
      <c r="E174" s="46" t="s">
        <v>4039</v>
      </c>
      <c r="F174" s="46" t="s">
        <v>4040</v>
      </c>
      <c r="G174" s="46" t="s">
        <v>4041</v>
      </c>
      <c r="H174" s="46" t="s">
        <v>4042</v>
      </c>
      <c r="I174" s="46" t="s">
        <v>4043</v>
      </c>
      <c r="J174" s="46" t="s">
        <v>4044</v>
      </c>
      <c r="K174" s="46" t="s">
        <v>4045</v>
      </c>
      <c r="L174" s="46" t="s">
        <v>4046</v>
      </c>
    </row>
    <row r="175" spans="2:12">
      <c r="B175" s="46" t="s">
        <v>433</v>
      </c>
      <c r="C175" s="46" t="s">
        <v>4047</v>
      </c>
      <c r="D175" s="46" t="s">
        <v>4048</v>
      </c>
      <c r="E175" s="46" t="s">
        <v>4049</v>
      </c>
      <c r="F175" s="46" t="s">
        <v>4050</v>
      </c>
      <c r="G175" s="46" t="s">
        <v>4051</v>
      </c>
      <c r="H175" s="46" t="s">
        <v>4052</v>
      </c>
      <c r="I175" s="46" t="s">
        <v>4053</v>
      </c>
      <c r="J175" s="46" t="s">
        <v>4054</v>
      </c>
      <c r="K175" s="46" t="s">
        <v>4055</v>
      </c>
      <c r="L175" s="46" t="s">
        <v>4056</v>
      </c>
    </row>
    <row r="176" spans="2:12">
      <c r="B176" s="46" t="s">
        <v>432</v>
      </c>
      <c r="C176" s="46" t="s">
        <v>4057</v>
      </c>
      <c r="D176" s="46" t="s">
        <v>4058</v>
      </c>
      <c r="E176" s="46" t="s">
        <v>4059</v>
      </c>
      <c r="F176" s="46" t="s">
        <v>4060</v>
      </c>
      <c r="G176" s="46" t="s">
        <v>4061</v>
      </c>
      <c r="H176" s="46" t="s">
        <v>4062</v>
      </c>
      <c r="I176" s="46" t="s">
        <v>4063</v>
      </c>
      <c r="J176" s="46" t="s">
        <v>4064</v>
      </c>
      <c r="K176" s="46" t="s">
        <v>4065</v>
      </c>
      <c r="L176" s="46" t="s">
        <v>4066</v>
      </c>
    </row>
    <row r="177" spans="2:12">
      <c r="B177" s="46" t="s">
        <v>431</v>
      </c>
      <c r="C177" s="46" t="s">
        <v>4067</v>
      </c>
      <c r="D177" s="46" t="s">
        <v>4068</v>
      </c>
      <c r="E177" s="46" t="s">
        <v>4069</v>
      </c>
      <c r="F177" s="46" t="s">
        <v>4070</v>
      </c>
      <c r="G177" s="46" t="s">
        <v>4071</v>
      </c>
      <c r="H177" s="46" t="s">
        <v>4072</v>
      </c>
      <c r="I177" s="46" t="s">
        <v>4073</v>
      </c>
      <c r="J177" s="46" t="s">
        <v>4074</v>
      </c>
      <c r="K177" s="46" t="s">
        <v>4075</v>
      </c>
      <c r="L177" s="46" t="s">
        <v>4076</v>
      </c>
    </row>
    <row r="178" spans="2:12">
      <c r="B178" s="46" t="s">
        <v>430</v>
      </c>
      <c r="C178" s="46" t="s">
        <v>4077</v>
      </c>
      <c r="D178" s="46" t="s">
        <v>4078</v>
      </c>
      <c r="E178" s="46" t="s">
        <v>4079</v>
      </c>
      <c r="F178" s="46" t="s">
        <v>4080</v>
      </c>
      <c r="G178" s="46" t="s">
        <v>4081</v>
      </c>
      <c r="H178" s="46" t="s">
        <v>4082</v>
      </c>
      <c r="I178" s="46" t="s">
        <v>4083</v>
      </c>
      <c r="J178" s="46" t="s">
        <v>4084</v>
      </c>
      <c r="K178" s="46" t="s">
        <v>4085</v>
      </c>
      <c r="L178" s="46" t="s">
        <v>4086</v>
      </c>
    </row>
    <row r="179" spans="2:12">
      <c r="B179" s="46" t="s">
        <v>429</v>
      </c>
      <c r="C179" s="46" t="s">
        <v>4087</v>
      </c>
      <c r="D179" s="46" t="s">
        <v>4088</v>
      </c>
      <c r="E179" s="46" t="s">
        <v>4089</v>
      </c>
      <c r="F179" s="46" t="s">
        <v>4090</v>
      </c>
      <c r="G179" s="46" t="s">
        <v>4091</v>
      </c>
      <c r="H179" s="46" t="s">
        <v>4092</v>
      </c>
      <c r="I179" s="46" t="s">
        <v>4093</v>
      </c>
      <c r="J179" s="46" t="s">
        <v>4094</v>
      </c>
      <c r="K179" s="46" t="s">
        <v>4095</v>
      </c>
      <c r="L179" s="46" t="s">
        <v>4096</v>
      </c>
    </row>
    <row r="180" spans="2:12">
      <c r="B180" s="46" t="s">
        <v>428</v>
      </c>
      <c r="C180" s="46" t="s">
        <v>4097</v>
      </c>
      <c r="D180" s="46" t="s">
        <v>4098</v>
      </c>
      <c r="E180" s="46" t="s">
        <v>4099</v>
      </c>
      <c r="F180" s="46" t="s">
        <v>4100</v>
      </c>
      <c r="G180" s="46" t="s">
        <v>4101</v>
      </c>
      <c r="H180" s="46" t="s">
        <v>4102</v>
      </c>
      <c r="I180" s="46" t="s">
        <v>4103</v>
      </c>
      <c r="J180" s="46" t="s">
        <v>4104</v>
      </c>
      <c r="K180" s="46" t="s">
        <v>4105</v>
      </c>
      <c r="L180" s="46" t="s">
        <v>4106</v>
      </c>
    </row>
    <row r="181" spans="2:12">
      <c r="B181" s="46" t="s">
        <v>427</v>
      </c>
      <c r="C181" s="46" t="s">
        <v>4107</v>
      </c>
      <c r="D181" s="46" t="s">
        <v>4108</v>
      </c>
      <c r="E181" s="46" t="s">
        <v>4109</v>
      </c>
      <c r="F181" s="46" t="s">
        <v>4110</v>
      </c>
      <c r="G181" s="46" t="s">
        <v>4111</v>
      </c>
      <c r="H181" s="46" t="s">
        <v>4112</v>
      </c>
      <c r="I181" s="46" t="s">
        <v>4113</v>
      </c>
      <c r="J181" s="46" t="s">
        <v>4114</v>
      </c>
      <c r="K181" s="46" t="s">
        <v>4115</v>
      </c>
      <c r="L181" s="46" t="s">
        <v>4116</v>
      </c>
    </row>
    <row r="182" spans="2:12">
      <c r="B182" s="46" t="s">
        <v>426</v>
      </c>
      <c r="C182" s="46" t="s">
        <v>4117</v>
      </c>
      <c r="D182" s="46" t="s">
        <v>4118</v>
      </c>
      <c r="E182" s="46" t="s">
        <v>4119</v>
      </c>
      <c r="F182" s="46" t="s">
        <v>4120</v>
      </c>
      <c r="G182" s="46" t="s">
        <v>4121</v>
      </c>
      <c r="H182" s="46" t="s">
        <v>4122</v>
      </c>
      <c r="I182" s="46" t="s">
        <v>4123</v>
      </c>
      <c r="J182" s="46" t="s">
        <v>4124</v>
      </c>
      <c r="K182" s="46" t="s">
        <v>4125</v>
      </c>
      <c r="L182" s="46" t="s">
        <v>4126</v>
      </c>
    </row>
    <row r="183" spans="2:12">
      <c r="B183" s="46" t="s">
        <v>425</v>
      </c>
      <c r="C183" s="46" t="s">
        <v>4127</v>
      </c>
      <c r="D183" s="46" t="s">
        <v>4128</v>
      </c>
      <c r="E183" s="46" t="s">
        <v>4129</v>
      </c>
      <c r="F183" s="46" t="s">
        <v>4130</v>
      </c>
      <c r="G183" s="46" t="s">
        <v>4131</v>
      </c>
      <c r="H183" s="46" t="s">
        <v>4132</v>
      </c>
      <c r="I183" s="46" t="s">
        <v>4133</v>
      </c>
      <c r="J183" s="46" t="s">
        <v>4134</v>
      </c>
      <c r="K183" s="46" t="s">
        <v>4135</v>
      </c>
      <c r="L183" s="46" t="s">
        <v>4136</v>
      </c>
    </row>
    <row r="184" spans="2:12">
      <c r="B184" s="46" t="s">
        <v>424</v>
      </c>
      <c r="C184" s="46" t="s">
        <v>4137</v>
      </c>
      <c r="D184" s="46" t="s">
        <v>4138</v>
      </c>
      <c r="E184" s="46" t="s">
        <v>4139</v>
      </c>
      <c r="F184" s="46" t="s">
        <v>4140</v>
      </c>
      <c r="G184" s="46" t="s">
        <v>4141</v>
      </c>
      <c r="H184" s="46" t="s">
        <v>4142</v>
      </c>
      <c r="I184" s="46" t="s">
        <v>4143</v>
      </c>
      <c r="J184" s="46" t="s">
        <v>4144</v>
      </c>
      <c r="K184" s="46" t="s">
        <v>4145</v>
      </c>
      <c r="L184" s="46" t="s">
        <v>4146</v>
      </c>
    </row>
    <row r="185" spans="2:12">
      <c r="B185" s="46" t="s">
        <v>423</v>
      </c>
      <c r="C185" s="46" t="s">
        <v>4147</v>
      </c>
      <c r="D185" s="46" t="s">
        <v>4148</v>
      </c>
      <c r="E185" s="46" t="s">
        <v>4149</v>
      </c>
      <c r="F185" s="46" t="s">
        <v>4150</v>
      </c>
      <c r="G185" s="46" t="s">
        <v>4151</v>
      </c>
      <c r="H185" s="46" t="s">
        <v>4152</v>
      </c>
      <c r="I185" s="46" t="s">
        <v>4153</v>
      </c>
      <c r="J185" s="46" t="s">
        <v>4154</v>
      </c>
      <c r="K185" s="46" t="s">
        <v>4155</v>
      </c>
      <c r="L185" s="46" t="s">
        <v>4156</v>
      </c>
    </row>
    <row r="186" spans="2:12">
      <c r="B186" s="46" t="s">
        <v>422</v>
      </c>
      <c r="C186" s="46" t="s">
        <v>4157</v>
      </c>
      <c r="D186" s="46" t="s">
        <v>4158</v>
      </c>
      <c r="E186" s="46" t="s">
        <v>4159</v>
      </c>
      <c r="F186" s="46" t="s">
        <v>4160</v>
      </c>
      <c r="G186" s="46" t="s">
        <v>4161</v>
      </c>
      <c r="H186" s="46" t="s">
        <v>4162</v>
      </c>
      <c r="I186" s="46" t="s">
        <v>4163</v>
      </c>
      <c r="J186" s="46" t="s">
        <v>4164</v>
      </c>
      <c r="K186" s="46" t="s">
        <v>4165</v>
      </c>
      <c r="L186" s="46" t="s">
        <v>4166</v>
      </c>
    </row>
    <row r="187" spans="2:12">
      <c r="B187" s="46" t="s">
        <v>421</v>
      </c>
      <c r="C187" s="46" t="s">
        <v>4167</v>
      </c>
      <c r="D187" s="46" t="s">
        <v>4168</v>
      </c>
      <c r="E187" s="46" t="s">
        <v>4169</v>
      </c>
      <c r="F187" s="46" t="s">
        <v>4170</v>
      </c>
      <c r="G187" s="46" t="s">
        <v>4171</v>
      </c>
      <c r="H187" s="46" t="s">
        <v>4172</v>
      </c>
      <c r="I187" s="46" t="s">
        <v>4173</v>
      </c>
      <c r="J187" s="46" t="s">
        <v>4174</v>
      </c>
      <c r="K187" s="46" t="s">
        <v>4175</v>
      </c>
      <c r="L187" s="46" t="s">
        <v>4176</v>
      </c>
    </row>
    <row r="188" spans="2:12">
      <c r="B188" s="46" t="s">
        <v>420</v>
      </c>
      <c r="C188" s="46" t="s">
        <v>4177</v>
      </c>
      <c r="D188" s="46" t="s">
        <v>4178</v>
      </c>
      <c r="E188" s="46" t="s">
        <v>4179</v>
      </c>
      <c r="F188" s="46" t="s">
        <v>4180</v>
      </c>
      <c r="G188" s="46" t="s">
        <v>4181</v>
      </c>
      <c r="H188" s="46" t="s">
        <v>4182</v>
      </c>
      <c r="I188" s="46" t="s">
        <v>4183</v>
      </c>
      <c r="J188" s="46" t="s">
        <v>4184</v>
      </c>
      <c r="K188" s="46" t="s">
        <v>4185</v>
      </c>
      <c r="L188" s="46" t="s">
        <v>4186</v>
      </c>
    </row>
    <row r="189" spans="2:12">
      <c r="B189" s="46" t="s">
        <v>419</v>
      </c>
      <c r="C189" s="46" t="s">
        <v>4187</v>
      </c>
      <c r="D189" s="46" t="s">
        <v>4188</v>
      </c>
      <c r="E189" s="46" t="s">
        <v>4189</v>
      </c>
      <c r="F189" s="46" t="s">
        <v>4190</v>
      </c>
      <c r="G189" s="46" t="s">
        <v>4191</v>
      </c>
      <c r="H189" s="46" t="s">
        <v>4192</v>
      </c>
      <c r="I189" s="46" t="s">
        <v>4193</v>
      </c>
      <c r="J189" s="46" t="s">
        <v>4194</v>
      </c>
      <c r="K189" s="46" t="s">
        <v>4195</v>
      </c>
      <c r="L189" s="46" t="s">
        <v>4196</v>
      </c>
    </row>
    <row r="190" spans="2:12">
      <c r="B190" s="46" t="s">
        <v>418</v>
      </c>
      <c r="C190" s="46" t="s">
        <v>4197</v>
      </c>
      <c r="D190" s="46" t="s">
        <v>4198</v>
      </c>
      <c r="E190" s="46" t="s">
        <v>4199</v>
      </c>
      <c r="F190" s="46" t="s">
        <v>4200</v>
      </c>
      <c r="G190" s="46" t="s">
        <v>4201</v>
      </c>
      <c r="H190" s="46" t="s">
        <v>4202</v>
      </c>
      <c r="I190" s="46" t="s">
        <v>4203</v>
      </c>
      <c r="J190" s="46" t="s">
        <v>4204</v>
      </c>
      <c r="K190" s="46" t="s">
        <v>4205</v>
      </c>
      <c r="L190" s="46" t="s">
        <v>4206</v>
      </c>
    </row>
    <row r="191" spans="2:12">
      <c r="B191" s="46" t="s">
        <v>417</v>
      </c>
      <c r="C191" s="46" t="s">
        <v>4207</v>
      </c>
      <c r="D191" s="46" t="s">
        <v>4208</v>
      </c>
      <c r="E191" s="46" t="s">
        <v>4209</v>
      </c>
      <c r="F191" s="46" t="s">
        <v>4210</v>
      </c>
      <c r="G191" s="46" t="s">
        <v>4211</v>
      </c>
      <c r="H191" s="46" t="s">
        <v>4212</v>
      </c>
      <c r="I191" s="46" t="s">
        <v>4213</v>
      </c>
      <c r="J191" s="46" t="s">
        <v>4214</v>
      </c>
      <c r="K191" s="46" t="s">
        <v>4215</v>
      </c>
      <c r="L191" s="46" t="s">
        <v>4216</v>
      </c>
    </row>
    <row r="192" spans="2:12">
      <c r="B192" s="46" t="s">
        <v>416</v>
      </c>
      <c r="C192" s="46" t="s">
        <v>4217</v>
      </c>
      <c r="D192" s="46" t="s">
        <v>4218</v>
      </c>
      <c r="E192" s="46" t="s">
        <v>4219</v>
      </c>
      <c r="F192" s="46" t="s">
        <v>4220</v>
      </c>
      <c r="G192" s="46" t="s">
        <v>4221</v>
      </c>
      <c r="H192" s="46" t="s">
        <v>4222</v>
      </c>
      <c r="I192" s="46" t="s">
        <v>4223</v>
      </c>
      <c r="J192" s="46" t="s">
        <v>4224</v>
      </c>
      <c r="K192" s="46" t="s">
        <v>4225</v>
      </c>
      <c r="L192" s="46" t="s">
        <v>4226</v>
      </c>
    </row>
    <row r="193" spans="2:12">
      <c r="B193" s="46" t="s">
        <v>415</v>
      </c>
      <c r="C193" s="46" t="s">
        <v>4227</v>
      </c>
      <c r="D193" s="46" t="s">
        <v>4228</v>
      </c>
      <c r="E193" s="46" t="s">
        <v>4229</v>
      </c>
      <c r="F193" s="46" t="s">
        <v>4230</v>
      </c>
      <c r="G193" s="46" t="s">
        <v>4231</v>
      </c>
      <c r="H193" s="46" t="s">
        <v>4232</v>
      </c>
      <c r="I193" s="46" t="s">
        <v>4233</v>
      </c>
      <c r="J193" s="46" t="s">
        <v>4234</v>
      </c>
      <c r="K193" s="46" t="s">
        <v>4235</v>
      </c>
      <c r="L193" s="46" t="s">
        <v>4236</v>
      </c>
    </row>
    <row r="194" spans="2:12">
      <c r="B194" s="46" t="s">
        <v>414</v>
      </c>
      <c r="C194" s="46" t="s">
        <v>4237</v>
      </c>
      <c r="D194" s="46" t="s">
        <v>4238</v>
      </c>
      <c r="E194" s="46" t="s">
        <v>4239</v>
      </c>
      <c r="F194" s="46" t="s">
        <v>4240</v>
      </c>
      <c r="G194" s="46" t="s">
        <v>4241</v>
      </c>
      <c r="H194" s="46" t="s">
        <v>4242</v>
      </c>
      <c r="I194" s="46" t="s">
        <v>4243</v>
      </c>
      <c r="J194" s="46" t="s">
        <v>4244</v>
      </c>
      <c r="K194" s="46" t="s">
        <v>4245</v>
      </c>
      <c r="L194" s="46" t="s">
        <v>4246</v>
      </c>
    </row>
    <row r="195" spans="2:12">
      <c r="B195" s="46" t="s">
        <v>413</v>
      </c>
      <c r="C195" s="46" t="s">
        <v>4247</v>
      </c>
      <c r="D195" s="46" t="s">
        <v>4248</v>
      </c>
      <c r="E195" s="46" t="s">
        <v>4249</v>
      </c>
      <c r="F195" s="46" t="s">
        <v>4250</v>
      </c>
      <c r="G195" s="46" t="s">
        <v>4251</v>
      </c>
      <c r="H195" s="46" t="s">
        <v>4252</v>
      </c>
      <c r="I195" s="46" t="s">
        <v>4253</v>
      </c>
      <c r="J195" s="46" t="s">
        <v>4254</v>
      </c>
      <c r="K195" s="46" t="s">
        <v>4255</v>
      </c>
      <c r="L195" s="46" t="s">
        <v>4256</v>
      </c>
    </row>
    <row r="196" spans="2:12">
      <c r="B196" s="46" t="s">
        <v>412</v>
      </c>
      <c r="C196" s="46" t="s">
        <v>4257</v>
      </c>
      <c r="D196" s="46" t="s">
        <v>4258</v>
      </c>
      <c r="E196" s="46" t="s">
        <v>4259</v>
      </c>
      <c r="F196" s="46" t="s">
        <v>4260</v>
      </c>
      <c r="G196" s="46" t="s">
        <v>4261</v>
      </c>
      <c r="H196" s="46" t="s">
        <v>4262</v>
      </c>
      <c r="I196" s="46" t="s">
        <v>4263</v>
      </c>
      <c r="J196" s="46" t="s">
        <v>4264</v>
      </c>
      <c r="K196" s="46" t="s">
        <v>4265</v>
      </c>
      <c r="L196" s="46" t="s">
        <v>4266</v>
      </c>
    </row>
    <row r="197" spans="2:12">
      <c r="B197" s="46" t="s">
        <v>411</v>
      </c>
      <c r="C197" s="46" t="s">
        <v>4267</v>
      </c>
      <c r="D197" s="46" t="s">
        <v>4268</v>
      </c>
      <c r="E197" s="46" t="s">
        <v>4269</v>
      </c>
      <c r="F197" s="46" t="s">
        <v>4270</v>
      </c>
      <c r="G197" s="46" t="s">
        <v>4271</v>
      </c>
      <c r="H197" s="46" t="s">
        <v>4272</v>
      </c>
      <c r="I197" s="46" t="s">
        <v>4273</v>
      </c>
      <c r="J197" s="46" t="s">
        <v>4274</v>
      </c>
      <c r="K197" s="46" t="s">
        <v>4275</v>
      </c>
      <c r="L197" s="46" t="s">
        <v>4276</v>
      </c>
    </row>
    <row r="198" spans="2:12">
      <c r="B198" s="46" t="s">
        <v>410</v>
      </c>
      <c r="C198" s="46" t="s">
        <v>4277</v>
      </c>
      <c r="D198" s="46" t="s">
        <v>4278</v>
      </c>
      <c r="E198" s="46" t="s">
        <v>4279</v>
      </c>
      <c r="F198" s="46" t="s">
        <v>4280</v>
      </c>
      <c r="G198" s="46" t="s">
        <v>4281</v>
      </c>
      <c r="H198" s="46" t="s">
        <v>4282</v>
      </c>
      <c r="I198" s="46" t="s">
        <v>4283</v>
      </c>
      <c r="J198" s="46" t="s">
        <v>4284</v>
      </c>
      <c r="K198" s="46" t="s">
        <v>4285</v>
      </c>
      <c r="L198" s="46" t="s">
        <v>4286</v>
      </c>
    </row>
    <row r="199" spans="2:12">
      <c r="B199" s="46" t="s">
        <v>409</v>
      </c>
      <c r="C199" s="46" t="s">
        <v>4287</v>
      </c>
      <c r="D199" s="46" t="s">
        <v>4288</v>
      </c>
      <c r="E199" s="46" t="s">
        <v>4289</v>
      </c>
      <c r="F199" s="46" t="s">
        <v>4290</v>
      </c>
      <c r="G199" s="46" t="s">
        <v>4291</v>
      </c>
      <c r="H199" s="46" t="s">
        <v>4292</v>
      </c>
      <c r="I199" s="46" t="s">
        <v>4293</v>
      </c>
      <c r="J199" s="46" t="s">
        <v>4294</v>
      </c>
      <c r="K199" s="46" t="s">
        <v>4295</v>
      </c>
      <c r="L199" s="46" t="s">
        <v>4296</v>
      </c>
    </row>
    <row r="200" spans="2:12">
      <c r="B200" s="46" t="s">
        <v>408</v>
      </c>
      <c r="C200" s="46" t="s">
        <v>4297</v>
      </c>
      <c r="D200" s="46" t="s">
        <v>4298</v>
      </c>
      <c r="E200" s="46" t="s">
        <v>4299</v>
      </c>
      <c r="F200" s="46" t="s">
        <v>4300</v>
      </c>
      <c r="G200" s="46" t="s">
        <v>4301</v>
      </c>
      <c r="H200" s="46" t="s">
        <v>4302</v>
      </c>
      <c r="I200" s="46" t="s">
        <v>4303</v>
      </c>
      <c r="J200" s="46" t="s">
        <v>4304</v>
      </c>
      <c r="K200" s="46" t="s">
        <v>4305</v>
      </c>
      <c r="L200" s="46" t="s">
        <v>4306</v>
      </c>
    </row>
    <row r="201" spans="2:12">
      <c r="B201" s="46" t="s">
        <v>407</v>
      </c>
      <c r="C201" s="46" t="s">
        <v>4307</v>
      </c>
      <c r="D201" s="46" t="s">
        <v>4308</v>
      </c>
      <c r="E201" s="46" t="s">
        <v>4309</v>
      </c>
      <c r="F201" s="46" t="s">
        <v>4310</v>
      </c>
      <c r="G201" s="46" t="s">
        <v>4311</v>
      </c>
      <c r="H201" s="46" t="s">
        <v>4312</v>
      </c>
      <c r="I201" s="46" t="s">
        <v>4313</v>
      </c>
      <c r="J201" s="46" t="s">
        <v>4314</v>
      </c>
      <c r="K201" s="46" t="s">
        <v>4315</v>
      </c>
      <c r="L201" s="46" t="s">
        <v>4316</v>
      </c>
    </row>
    <row r="202" spans="2:12">
      <c r="B202" s="46" t="s">
        <v>406</v>
      </c>
      <c r="C202" s="46" t="s">
        <v>4317</v>
      </c>
      <c r="D202" s="46" t="s">
        <v>4318</v>
      </c>
      <c r="E202" s="46" t="s">
        <v>4319</v>
      </c>
      <c r="F202" s="46" t="s">
        <v>4320</v>
      </c>
      <c r="G202" s="46" t="s">
        <v>4321</v>
      </c>
      <c r="H202" s="46" t="s">
        <v>4322</v>
      </c>
      <c r="I202" s="46" t="s">
        <v>4323</v>
      </c>
      <c r="J202" s="46" t="s">
        <v>4324</v>
      </c>
      <c r="K202" s="46" t="s">
        <v>4325</v>
      </c>
      <c r="L202" s="46" t="s">
        <v>4326</v>
      </c>
    </row>
    <row r="203" spans="2:12">
      <c r="B203" s="46" t="s">
        <v>405</v>
      </c>
      <c r="C203" s="46" t="s">
        <v>4327</v>
      </c>
      <c r="D203" s="46" t="s">
        <v>4328</v>
      </c>
      <c r="E203" s="46" t="s">
        <v>4329</v>
      </c>
      <c r="F203" s="46" t="s">
        <v>4330</v>
      </c>
      <c r="G203" s="46" t="s">
        <v>4331</v>
      </c>
      <c r="H203" s="46" t="s">
        <v>4332</v>
      </c>
      <c r="I203" s="46" t="s">
        <v>4333</v>
      </c>
      <c r="J203" s="46" t="s">
        <v>4334</v>
      </c>
      <c r="K203" s="46" t="s">
        <v>4335</v>
      </c>
      <c r="L203" s="46" t="s">
        <v>4336</v>
      </c>
    </row>
    <row r="204" spans="2:12">
      <c r="B204" s="46" t="s">
        <v>404</v>
      </c>
      <c r="C204" s="46" t="s">
        <v>4337</v>
      </c>
      <c r="D204" s="46" t="s">
        <v>4338</v>
      </c>
      <c r="E204" s="46" t="s">
        <v>4339</v>
      </c>
      <c r="F204" s="46" t="s">
        <v>4340</v>
      </c>
      <c r="G204" s="46" t="s">
        <v>4341</v>
      </c>
      <c r="H204" s="46" t="s">
        <v>4342</v>
      </c>
      <c r="I204" s="46" t="s">
        <v>4343</v>
      </c>
      <c r="J204" s="46" t="s">
        <v>4344</v>
      </c>
      <c r="K204" s="46" t="s">
        <v>4345</v>
      </c>
      <c r="L204" s="46" t="s">
        <v>4346</v>
      </c>
    </row>
    <row r="205" spans="2:12">
      <c r="B205" s="46" t="s">
        <v>403</v>
      </c>
      <c r="C205" s="46" t="s">
        <v>4347</v>
      </c>
      <c r="D205" s="46" t="s">
        <v>4348</v>
      </c>
      <c r="E205" s="46" t="s">
        <v>4349</v>
      </c>
      <c r="F205" s="46" t="s">
        <v>4350</v>
      </c>
      <c r="G205" s="46" t="s">
        <v>4351</v>
      </c>
      <c r="H205" s="46" t="s">
        <v>4352</v>
      </c>
      <c r="I205" s="46" t="s">
        <v>4353</v>
      </c>
      <c r="J205" s="46" t="s">
        <v>4354</v>
      </c>
      <c r="K205" s="46" t="s">
        <v>4355</v>
      </c>
      <c r="L205" s="46" t="s">
        <v>4356</v>
      </c>
    </row>
    <row r="206" spans="2:12">
      <c r="B206" s="46" t="s">
        <v>402</v>
      </c>
      <c r="C206" s="46" t="s">
        <v>4357</v>
      </c>
      <c r="D206" s="46" t="s">
        <v>4358</v>
      </c>
      <c r="E206" s="46" t="s">
        <v>4359</v>
      </c>
      <c r="F206" s="46" t="s">
        <v>4360</v>
      </c>
      <c r="G206" s="46" t="s">
        <v>4361</v>
      </c>
      <c r="H206" s="46" t="s">
        <v>4362</v>
      </c>
      <c r="I206" s="46" t="s">
        <v>4363</v>
      </c>
      <c r="J206" s="46" t="s">
        <v>4364</v>
      </c>
      <c r="K206" s="46" t="s">
        <v>4365</v>
      </c>
      <c r="L206" s="46" t="s">
        <v>4366</v>
      </c>
    </row>
    <row r="207" spans="2:12">
      <c r="B207" s="46" t="s">
        <v>401</v>
      </c>
      <c r="C207" s="46" t="s">
        <v>4367</v>
      </c>
      <c r="D207" s="46" t="s">
        <v>4368</v>
      </c>
      <c r="E207" s="46" t="s">
        <v>4369</v>
      </c>
      <c r="F207" s="46" t="s">
        <v>4370</v>
      </c>
      <c r="G207" s="46" t="s">
        <v>4371</v>
      </c>
      <c r="H207" s="46" t="s">
        <v>4372</v>
      </c>
      <c r="I207" s="46" t="s">
        <v>4373</v>
      </c>
      <c r="J207" s="46" t="s">
        <v>4374</v>
      </c>
      <c r="K207" s="46" t="s">
        <v>4375</v>
      </c>
      <c r="L207" s="46" t="s">
        <v>4376</v>
      </c>
    </row>
    <row r="208" spans="2:12">
      <c r="B208" s="46" t="s">
        <v>400</v>
      </c>
      <c r="C208" s="46" t="s">
        <v>4377</v>
      </c>
      <c r="D208" s="46" t="s">
        <v>4378</v>
      </c>
      <c r="E208" s="46" t="s">
        <v>4379</v>
      </c>
      <c r="F208" s="46" t="s">
        <v>4380</v>
      </c>
      <c r="G208" s="46" t="s">
        <v>4381</v>
      </c>
      <c r="H208" s="46" t="s">
        <v>4382</v>
      </c>
      <c r="I208" s="46" t="s">
        <v>4383</v>
      </c>
      <c r="J208" s="46" t="s">
        <v>4384</v>
      </c>
      <c r="K208" s="46" t="s">
        <v>4385</v>
      </c>
      <c r="L208" s="46" t="s">
        <v>4386</v>
      </c>
    </row>
    <row r="209" spans="2:12">
      <c r="B209" s="46" t="s">
        <v>399</v>
      </c>
      <c r="C209" s="46" t="s">
        <v>4387</v>
      </c>
      <c r="D209" s="46" t="s">
        <v>4388</v>
      </c>
      <c r="E209" s="46" t="s">
        <v>4389</v>
      </c>
      <c r="F209" s="46" t="s">
        <v>4390</v>
      </c>
      <c r="G209" s="46" t="s">
        <v>4391</v>
      </c>
      <c r="H209" s="46" t="s">
        <v>4392</v>
      </c>
      <c r="I209" s="46" t="s">
        <v>4393</v>
      </c>
      <c r="J209" s="46" t="s">
        <v>4394</v>
      </c>
      <c r="K209" s="46" t="s">
        <v>4395</v>
      </c>
      <c r="L209" s="46" t="s">
        <v>4396</v>
      </c>
    </row>
    <row r="210" spans="2:12">
      <c r="B210" s="46" t="s">
        <v>398</v>
      </c>
      <c r="C210" s="46" t="s">
        <v>4397</v>
      </c>
      <c r="D210" s="46" t="s">
        <v>4398</v>
      </c>
      <c r="E210" s="46" t="s">
        <v>4399</v>
      </c>
      <c r="F210" s="46" t="s">
        <v>4400</v>
      </c>
      <c r="G210" s="46" t="s">
        <v>4401</v>
      </c>
      <c r="H210" s="46" t="s">
        <v>4402</v>
      </c>
      <c r="I210" s="46" t="s">
        <v>4403</v>
      </c>
      <c r="J210" s="46" t="s">
        <v>4404</v>
      </c>
      <c r="K210" s="46" t="s">
        <v>4405</v>
      </c>
      <c r="L210" s="46" t="s">
        <v>4406</v>
      </c>
    </row>
    <row r="211" spans="2:12">
      <c r="B211" s="46" t="s">
        <v>397</v>
      </c>
      <c r="C211" s="46" t="s">
        <v>4407</v>
      </c>
      <c r="D211" s="46" t="s">
        <v>4408</v>
      </c>
      <c r="E211" s="46" t="s">
        <v>4409</v>
      </c>
      <c r="F211" s="46" t="s">
        <v>4410</v>
      </c>
      <c r="G211" s="46" t="s">
        <v>4411</v>
      </c>
      <c r="H211" s="46" t="s">
        <v>4412</v>
      </c>
      <c r="I211" s="46" t="s">
        <v>4413</v>
      </c>
      <c r="J211" s="46" t="s">
        <v>4414</v>
      </c>
      <c r="K211" s="46" t="s">
        <v>4415</v>
      </c>
      <c r="L211" s="46" t="s">
        <v>4416</v>
      </c>
    </row>
    <row r="212" spans="2:12">
      <c r="B212" s="46" t="s">
        <v>396</v>
      </c>
      <c r="C212" s="46" t="s">
        <v>4417</v>
      </c>
      <c r="D212" s="46" t="s">
        <v>4418</v>
      </c>
      <c r="E212" s="46" t="s">
        <v>4419</v>
      </c>
      <c r="F212" s="46" t="s">
        <v>4420</v>
      </c>
      <c r="G212" s="46" t="s">
        <v>4421</v>
      </c>
      <c r="H212" s="46" t="s">
        <v>4422</v>
      </c>
      <c r="I212" s="46" t="s">
        <v>4423</v>
      </c>
      <c r="J212" s="46" t="s">
        <v>4424</v>
      </c>
      <c r="K212" s="46" t="s">
        <v>4425</v>
      </c>
      <c r="L212" s="46" t="s">
        <v>4426</v>
      </c>
    </row>
    <row r="213" spans="2:12">
      <c r="B213" s="46" t="s">
        <v>395</v>
      </c>
      <c r="C213" s="46" t="s">
        <v>4427</v>
      </c>
      <c r="D213" s="46" t="s">
        <v>4428</v>
      </c>
      <c r="E213" s="46" t="s">
        <v>4429</v>
      </c>
      <c r="F213" s="46" t="s">
        <v>4430</v>
      </c>
      <c r="G213" s="46" t="s">
        <v>4431</v>
      </c>
      <c r="H213" s="46" t="s">
        <v>4432</v>
      </c>
      <c r="I213" s="46" t="s">
        <v>4433</v>
      </c>
      <c r="J213" s="46" t="s">
        <v>4434</v>
      </c>
      <c r="K213" s="46" t="s">
        <v>4435</v>
      </c>
      <c r="L213" s="46" t="s">
        <v>4436</v>
      </c>
    </row>
    <row r="214" spans="2:12">
      <c r="B214" s="46" t="s">
        <v>394</v>
      </c>
      <c r="C214" s="46" t="s">
        <v>4437</v>
      </c>
      <c r="D214" s="46" t="s">
        <v>4438</v>
      </c>
      <c r="E214" s="46" t="s">
        <v>4439</v>
      </c>
      <c r="F214" s="46" t="s">
        <v>4440</v>
      </c>
      <c r="G214" s="46" t="s">
        <v>4441</v>
      </c>
      <c r="H214" s="46" t="s">
        <v>4442</v>
      </c>
      <c r="I214" s="46" t="s">
        <v>4443</v>
      </c>
      <c r="J214" s="46" t="s">
        <v>4444</v>
      </c>
      <c r="K214" s="46" t="s">
        <v>4445</v>
      </c>
      <c r="L214" s="46" t="s">
        <v>4446</v>
      </c>
    </row>
    <row r="215" spans="2:12">
      <c r="B215" s="46" t="s">
        <v>393</v>
      </c>
      <c r="C215" s="46" t="s">
        <v>4447</v>
      </c>
      <c r="D215" s="46" t="s">
        <v>4448</v>
      </c>
      <c r="E215" s="46" t="s">
        <v>4449</v>
      </c>
      <c r="F215" s="46" t="s">
        <v>4450</v>
      </c>
      <c r="G215" s="46" t="s">
        <v>4451</v>
      </c>
      <c r="H215" s="46" t="s">
        <v>4452</v>
      </c>
      <c r="I215" s="46" t="s">
        <v>4453</v>
      </c>
      <c r="J215" s="46" t="s">
        <v>4454</v>
      </c>
      <c r="K215" s="46" t="s">
        <v>4455</v>
      </c>
      <c r="L215" s="46" t="s">
        <v>4456</v>
      </c>
    </row>
    <row r="216" spans="2:12">
      <c r="B216" s="46" t="s">
        <v>392</v>
      </c>
      <c r="C216" s="46" t="s">
        <v>4457</v>
      </c>
      <c r="D216" s="46" t="s">
        <v>4458</v>
      </c>
      <c r="E216" s="46" t="s">
        <v>4459</v>
      </c>
      <c r="F216" s="46" t="s">
        <v>4460</v>
      </c>
      <c r="G216" s="46" t="s">
        <v>4461</v>
      </c>
      <c r="H216" s="46" t="s">
        <v>4462</v>
      </c>
      <c r="I216" s="46" t="s">
        <v>4463</v>
      </c>
      <c r="J216" s="46" t="s">
        <v>4464</v>
      </c>
      <c r="K216" s="46" t="s">
        <v>4465</v>
      </c>
      <c r="L216" s="46" t="s">
        <v>4466</v>
      </c>
    </row>
    <row r="217" spans="2:12">
      <c r="B217" s="46" t="s">
        <v>391</v>
      </c>
      <c r="C217" s="46" t="s">
        <v>4467</v>
      </c>
      <c r="D217" s="46" t="s">
        <v>4468</v>
      </c>
      <c r="E217" s="46" t="s">
        <v>4469</v>
      </c>
      <c r="F217" s="46" t="s">
        <v>4470</v>
      </c>
      <c r="G217" s="46" t="s">
        <v>4471</v>
      </c>
      <c r="H217" s="46" t="s">
        <v>4472</v>
      </c>
      <c r="I217" s="46" t="s">
        <v>4473</v>
      </c>
      <c r="J217" s="46" t="s">
        <v>4474</v>
      </c>
      <c r="K217" s="46" t="s">
        <v>4475</v>
      </c>
      <c r="L217" s="46" t="s">
        <v>4476</v>
      </c>
    </row>
    <row r="218" spans="2:12">
      <c r="B218" s="46" t="s">
        <v>390</v>
      </c>
      <c r="C218" s="46" t="s">
        <v>4477</v>
      </c>
      <c r="D218" s="46" t="s">
        <v>4478</v>
      </c>
      <c r="E218" s="46" t="s">
        <v>4479</v>
      </c>
      <c r="F218" s="46" t="s">
        <v>4480</v>
      </c>
      <c r="G218" s="46" t="s">
        <v>4481</v>
      </c>
      <c r="H218" s="46" t="s">
        <v>4482</v>
      </c>
      <c r="I218" s="46" t="s">
        <v>4483</v>
      </c>
      <c r="J218" s="46" t="s">
        <v>4484</v>
      </c>
      <c r="K218" s="46" t="s">
        <v>4485</v>
      </c>
      <c r="L218" s="46" t="s">
        <v>4486</v>
      </c>
    </row>
    <row r="219" spans="2:12">
      <c r="B219" s="46" t="s">
        <v>389</v>
      </c>
      <c r="C219" s="46" t="s">
        <v>4487</v>
      </c>
      <c r="D219" s="46" t="s">
        <v>4488</v>
      </c>
      <c r="E219" s="46" t="s">
        <v>4489</v>
      </c>
      <c r="F219" s="46" t="s">
        <v>4490</v>
      </c>
      <c r="G219" s="46" t="s">
        <v>4491</v>
      </c>
      <c r="H219" s="46" t="s">
        <v>4492</v>
      </c>
      <c r="I219" s="46" t="s">
        <v>4493</v>
      </c>
      <c r="J219" s="46" t="s">
        <v>4494</v>
      </c>
      <c r="K219" s="46" t="s">
        <v>4495</v>
      </c>
      <c r="L219" s="46" t="s">
        <v>4496</v>
      </c>
    </row>
    <row r="220" spans="2:12">
      <c r="B220" s="46" t="s">
        <v>388</v>
      </c>
      <c r="C220" s="46" t="s">
        <v>4497</v>
      </c>
      <c r="D220" s="46" t="s">
        <v>4498</v>
      </c>
      <c r="E220" s="46" t="s">
        <v>4499</v>
      </c>
      <c r="F220" s="46" t="s">
        <v>4500</v>
      </c>
      <c r="G220" s="46" t="s">
        <v>4501</v>
      </c>
      <c r="H220" s="46" t="s">
        <v>4502</v>
      </c>
      <c r="I220" s="46" t="s">
        <v>4503</v>
      </c>
      <c r="J220" s="46" t="s">
        <v>4504</v>
      </c>
      <c r="K220" s="46" t="s">
        <v>4505</v>
      </c>
      <c r="L220" s="46" t="s">
        <v>4506</v>
      </c>
    </row>
    <row r="221" spans="2:12">
      <c r="B221" s="46" t="s">
        <v>387</v>
      </c>
      <c r="C221" s="46" t="s">
        <v>4507</v>
      </c>
      <c r="D221" s="46" t="s">
        <v>4508</v>
      </c>
      <c r="E221" s="46" t="s">
        <v>4509</v>
      </c>
      <c r="F221" s="46" t="s">
        <v>4510</v>
      </c>
      <c r="G221" s="46" t="s">
        <v>4511</v>
      </c>
      <c r="H221" s="46" t="s">
        <v>4512</v>
      </c>
      <c r="I221" s="46" t="s">
        <v>4513</v>
      </c>
      <c r="J221" s="46" t="s">
        <v>4514</v>
      </c>
      <c r="K221" s="46" t="s">
        <v>4515</v>
      </c>
      <c r="L221" s="46" t="s">
        <v>4516</v>
      </c>
    </row>
    <row r="222" spans="2:12">
      <c r="B222" s="46" t="s">
        <v>386</v>
      </c>
      <c r="C222" s="46" t="s">
        <v>4517</v>
      </c>
      <c r="D222" s="46" t="s">
        <v>4518</v>
      </c>
      <c r="E222" s="46" t="s">
        <v>4519</v>
      </c>
      <c r="F222" s="46" t="s">
        <v>4520</v>
      </c>
      <c r="G222" s="46" t="s">
        <v>4521</v>
      </c>
      <c r="H222" s="46" t="s">
        <v>4522</v>
      </c>
      <c r="I222" s="46" t="s">
        <v>4523</v>
      </c>
      <c r="J222" s="46" t="s">
        <v>4524</v>
      </c>
      <c r="K222" s="46" t="s">
        <v>4525</v>
      </c>
      <c r="L222" s="46" t="s">
        <v>4526</v>
      </c>
    </row>
    <row r="223" spans="2:12">
      <c r="B223" s="46" t="s">
        <v>385</v>
      </c>
      <c r="C223" s="46" t="s">
        <v>4527</v>
      </c>
      <c r="D223" s="46" t="s">
        <v>4528</v>
      </c>
      <c r="E223" s="46" t="s">
        <v>4529</v>
      </c>
      <c r="F223" s="46" t="s">
        <v>4530</v>
      </c>
      <c r="G223" s="46" t="s">
        <v>4531</v>
      </c>
      <c r="H223" s="46" t="s">
        <v>4532</v>
      </c>
      <c r="I223" s="46" t="s">
        <v>4533</v>
      </c>
      <c r="J223" s="46" t="s">
        <v>4534</v>
      </c>
      <c r="K223" s="46" t="s">
        <v>4535</v>
      </c>
      <c r="L223" s="46" t="s">
        <v>4536</v>
      </c>
    </row>
    <row r="224" spans="2:12">
      <c r="B224" s="46" t="s">
        <v>384</v>
      </c>
      <c r="C224" s="46" t="s">
        <v>4537</v>
      </c>
      <c r="D224" s="46" t="s">
        <v>4538</v>
      </c>
      <c r="E224" s="46" t="s">
        <v>4539</v>
      </c>
      <c r="F224" s="46" t="s">
        <v>4540</v>
      </c>
      <c r="G224" s="46" t="s">
        <v>4541</v>
      </c>
      <c r="H224" s="46" t="s">
        <v>4542</v>
      </c>
      <c r="I224" s="46" t="s">
        <v>4543</v>
      </c>
      <c r="J224" s="46" t="s">
        <v>4544</v>
      </c>
      <c r="K224" s="46" t="s">
        <v>4545</v>
      </c>
      <c r="L224" s="46" t="s">
        <v>4546</v>
      </c>
    </row>
    <row r="225" spans="2:12">
      <c r="B225" s="46" t="s">
        <v>383</v>
      </c>
      <c r="C225" s="46" t="s">
        <v>4547</v>
      </c>
      <c r="D225" s="46" t="s">
        <v>4548</v>
      </c>
      <c r="E225" s="46" t="s">
        <v>4549</v>
      </c>
      <c r="F225" s="46" t="s">
        <v>4550</v>
      </c>
      <c r="G225" s="46" t="s">
        <v>4551</v>
      </c>
      <c r="H225" s="46" t="s">
        <v>4552</v>
      </c>
      <c r="I225" s="46" t="s">
        <v>4553</v>
      </c>
      <c r="J225" s="46" t="s">
        <v>4554</v>
      </c>
      <c r="K225" s="46" t="s">
        <v>4555</v>
      </c>
      <c r="L225" s="46" t="s">
        <v>4556</v>
      </c>
    </row>
    <row r="226" spans="2:12">
      <c r="B226" s="46" t="s">
        <v>382</v>
      </c>
      <c r="C226" s="46" t="s">
        <v>4557</v>
      </c>
      <c r="D226" s="46" t="s">
        <v>4558</v>
      </c>
      <c r="E226" s="46" t="s">
        <v>4559</v>
      </c>
      <c r="F226" s="46" t="s">
        <v>4560</v>
      </c>
      <c r="G226" s="46" t="s">
        <v>4561</v>
      </c>
      <c r="H226" s="46" t="s">
        <v>4562</v>
      </c>
      <c r="I226" s="46" t="s">
        <v>4563</v>
      </c>
      <c r="J226" s="46" t="s">
        <v>4564</v>
      </c>
      <c r="K226" s="46" t="s">
        <v>4565</v>
      </c>
      <c r="L226" s="46" t="s">
        <v>4566</v>
      </c>
    </row>
    <row r="227" spans="2:12">
      <c r="B227" s="46" t="s">
        <v>381</v>
      </c>
      <c r="C227" s="46" t="s">
        <v>4567</v>
      </c>
      <c r="D227" s="46" t="s">
        <v>4568</v>
      </c>
      <c r="E227" s="46" t="s">
        <v>4569</v>
      </c>
      <c r="F227" s="46" t="s">
        <v>4570</v>
      </c>
      <c r="G227" s="46" t="s">
        <v>4571</v>
      </c>
      <c r="H227" s="46" t="s">
        <v>4572</v>
      </c>
      <c r="I227" s="46" t="s">
        <v>4573</v>
      </c>
      <c r="J227" s="46" t="s">
        <v>4574</v>
      </c>
      <c r="K227" s="46" t="s">
        <v>4575</v>
      </c>
      <c r="L227" s="46" t="s">
        <v>4576</v>
      </c>
    </row>
    <row r="228" spans="2:12">
      <c r="B228" s="46" t="s">
        <v>380</v>
      </c>
      <c r="C228" s="46" t="s">
        <v>4577</v>
      </c>
      <c r="D228" s="46" t="s">
        <v>4578</v>
      </c>
      <c r="E228" s="46" t="s">
        <v>4579</v>
      </c>
      <c r="F228" s="46" t="s">
        <v>4580</v>
      </c>
      <c r="G228" s="46" t="s">
        <v>4581</v>
      </c>
      <c r="H228" s="46" t="s">
        <v>4582</v>
      </c>
      <c r="I228" s="46" t="s">
        <v>4583</v>
      </c>
      <c r="J228" s="46" t="s">
        <v>4584</v>
      </c>
      <c r="K228" s="46" t="s">
        <v>4585</v>
      </c>
      <c r="L228" s="46" t="s">
        <v>4586</v>
      </c>
    </row>
    <row r="229" spans="2:12">
      <c r="B229" s="46" t="s">
        <v>379</v>
      </c>
      <c r="C229" s="46" t="s">
        <v>4587</v>
      </c>
      <c r="D229" s="46" t="s">
        <v>4588</v>
      </c>
      <c r="E229" s="46" t="s">
        <v>4589</v>
      </c>
      <c r="F229" s="46" t="s">
        <v>4590</v>
      </c>
      <c r="G229" s="46" t="s">
        <v>4591</v>
      </c>
      <c r="H229" s="46" t="s">
        <v>4592</v>
      </c>
      <c r="I229" s="46" t="s">
        <v>4593</v>
      </c>
      <c r="J229" s="46" t="s">
        <v>4594</v>
      </c>
      <c r="K229" s="46" t="s">
        <v>4595</v>
      </c>
      <c r="L229" s="46" t="s">
        <v>4596</v>
      </c>
    </row>
    <row r="230" spans="2:12">
      <c r="B230" s="46" t="s">
        <v>378</v>
      </c>
      <c r="C230" s="46" t="s">
        <v>4597</v>
      </c>
      <c r="D230" s="46" t="s">
        <v>4598</v>
      </c>
      <c r="E230" s="46" t="s">
        <v>4599</v>
      </c>
      <c r="F230" s="46" t="s">
        <v>4600</v>
      </c>
      <c r="G230" s="46" t="s">
        <v>4601</v>
      </c>
      <c r="H230" s="46" t="s">
        <v>4602</v>
      </c>
      <c r="I230" s="46" t="s">
        <v>4603</v>
      </c>
      <c r="J230" s="46" t="s">
        <v>4604</v>
      </c>
      <c r="K230" s="46" t="s">
        <v>4605</v>
      </c>
      <c r="L230" s="46" t="s">
        <v>4606</v>
      </c>
    </row>
    <row r="231" spans="2:12">
      <c r="B231" s="46" t="s">
        <v>377</v>
      </c>
      <c r="C231" s="46" t="s">
        <v>4607</v>
      </c>
      <c r="D231" s="46" t="s">
        <v>4608</v>
      </c>
      <c r="E231" s="46" t="s">
        <v>4609</v>
      </c>
      <c r="F231" s="46" t="s">
        <v>4610</v>
      </c>
      <c r="G231" s="46" t="s">
        <v>4611</v>
      </c>
      <c r="H231" s="46" t="s">
        <v>4612</v>
      </c>
      <c r="I231" s="46" t="s">
        <v>4613</v>
      </c>
      <c r="J231" s="46" t="s">
        <v>4614</v>
      </c>
      <c r="K231" s="46" t="s">
        <v>4615</v>
      </c>
      <c r="L231" s="46" t="s">
        <v>4616</v>
      </c>
    </row>
    <row r="232" spans="2:12">
      <c r="B232" s="46" t="s">
        <v>376</v>
      </c>
      <c r="C232" s="46" t="s">
        <v>4617</v>
      </c>
      <c r="D232" s="46" t="s">
        <v>4618</v>
      </c>
      <c r="E232" s="46" t="s">
        <v>4619</v>
      </c>
      <c r="F232" s="46" t="s">
        <v>4620</v>
      </c>
      <c r="G232" s="46" t="s">
        <v>4621</v>
      </c>
      <c r="H232" s="46" t="s">
        <v>4622</v>
      </c>
      <c r="I232" s="46" t="s">
        <v>4623</v>
      </c>
      <c r="J232" s="46" t="s">
        <v>4624</v>
      </c>
      <c r="K232" s="46" t="s">
        <v>4625</v>
      </c>
      <c r="L232" s="46" t="s">
        <v>4626</v>
      </c>
    </row>
    <row r="233" spans="2:12">
      <c r="B233" s="46" t="s">
        <v>375</v>
      </c>
      <c r="C233" s="46" t="s">
        <v>4627</v>
      </c>
      <c r="D233" s="46" t="s">
        <v>4628</v>
      </c>
      <c r="E233" s="46" t="s">
        <v>4629</v>
      </c>
      <c r="F233" s="46" t="s">
        <v>4630</v>
      </c>
      <c r="G233" s="46" t="s">
        <v>4631</v>
      </c>
      <c r="H233" s="46" t="s">
        <v>4632</v>
      </c>
      <c r="I233" s="46" t="s">
        <v>4633</v>
      </c>
      <c r="J233" s="46" t="s">
        <v>4634</v>
      </c>
      <c r="K233" s="46" t="s">
        <v>4635</v>
      </c>
      <c r="L233" s="46" t="s">
        <v>4636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7E517D-BF04-4AC4-918A-F7BA1F7F2DD9}">
  <dimension ref="A1:O135"/>
  <sheetViews>
    <sheetView showGridLines="0" topLeftCell="B2" workbookViewId="0">
      <pane ySplit="6" topLeftCell="A8" activePane="bottomLeft" state="frozen"/>
      <selection activeCell="B2" sqref="B2"/>
      <selection pane="bottomLeft" activeCell="B8" sqref="A8:XFD8"/>
    </sheetView>
  </sheetViews>
  <sheetFormatPr baseColWidth="10" defaultColWidth="9.140625" defaultRowHeight="15" outlineLevelRow="1"/>
  <cols>
    <col min="1" max="1" width="10.42578125" hidden="1" customWidth="1"/>
    <col min="2" max="2" width="15" bestFit="1" customWidth="1"/>
    <col min="3" max="3" width="33.28515625" bestFit="1" customWidth="1"/>
    <col min="4" max="4" width="16.85546875" customWidth="1"/>
    <col min="5" max="5" width="22.140625" bestFit="1" customWidth="1"/>
    <col min="6" max="6" width="34.42578125" bestFit="1" customWidth="1"/>
    <col min="7" max="7" width="18.85546875" bestFit="1" customWidth="1"/>
    <col min="8" max="8" width="8.7109375" bestFit="1" customWidth="1"/>
    <col min="9" max="9" width="7.140625" bestFit="1" customWidth="1"/>
    <col min="10" max="10" width="7.28515625" bestFit="1" customWidth="1"/>
    <col min="11" max="11" width="6.5703125" bestFit="1" customWidth="1"/>
    <col min="12" max="12" width="7.42578125" bestFit="1" customWidth="1"/>
    <col min="13" max="13" width="9.85546875" bestFit="1" customWidth="1"/>
    <col min="14" max="14" width="13.42578125" bestFit="1" customWidth="1"/>
    <col min="15" max="15" width="16.85546875" bestFit="1" customWidth="1"/>
  </cols>
  <sheetData>
    <row r="1" spans="1:15" hidden="1">
      <c r="A1" t="s">
        <v>6154</v>
      </c>
      <c r="B1" t="s">
        <v>0</v>
      </c>
      <c r="C1" t="s">
        <v>0</v>
      </c>
      <c r="D1" t="s">
        <v>0</v>
      </c>
      <c r="E1" t="s">
        <v>0</v>
      </c>
      <c r="F1" t="s">
        <v>0</v>
      </c>
      <c r="G1" t="s">
        <v>0</v>
      </c>
      <c r="H1" t="s">
        <v>0</v>
      </c>
      <c r="I1" t="s">
        <v>0</v>
      </c>
      <c r="J1" t="s">
        <v>0</v>
      </c>
      <c r="K1" t="s">
        <v>0</v>
      </c>
      <c r="L1" t="s">
        <v>0</v>
      </c>
      <c r="M1" t="s">
        <v>0</v>
      </c>
      <c r="N1" t="s">
        <v>0</v>
      </c>
      <c r="O1" t="s">
        <v>0</v>
      </c>
    </row>
    <row r="2" spans="1:15">
      <c r="B2" s="17"/>
    </row>
    <row r="3" spans="1:15">
      <c r="B3" s="51" t="s">
        <v>373</v>
      </c>
    </row>
    <row r="4" spans="1:15" s="1" customFormat="1">
      <c r="D4" s="3"/>
      <c r="G4" s="3"/>
      <c r="H4" s="4"/>
      <c r="I4" s="48" t="s">
        <v>2</v>
      </c>
      <c r="J4" s="48"/>
      <c r="K4" s="48"/>
      <c r="L4" s="48"/>
    </row>
    <row r="5" spans="1:15" s="36" customFormat="1" ht="32.1" customHeight="1">
      <c r="B5" s="37" t="s">
        <v>3</v>
      </c>
      <c r="C5" s="37" t="s">
        <v>4</v>
      </c>
      <c r="D5" s="38" t="s">
        <v>1040</v>
      </c>
      <c r="E5" s="37" t="s">
        <v>5</v>
      </c>
      <c r="F5" s="37"/>
      <c r="G5" s="38" t="s">
        <v>1041</v>
      </c>
      <c r="H5" s="39" t="s">
        <v>6</v>
      </c>
      <c r="I5" s="40" t="s">
        <v>7</v>
      </c>
      <c r="J5" s="40" t="s">
        <v>8</v>
      </c>
      <c r="K5" s="40" t="s">
        <v>9</v>
      </c>
      <c r="L5" s="40" t="s">
        <v>10</v>
      </c>
      <c r="M5" s="40" t="s">
        <v>11</v>
      </c>
      <c r="N5" s="40" t="s">
        <v>12</v>
      </c>
      <c r="O5" s="40" t="s">
        <v>13</v>
      </c>
    </row>
    <row r="6" spans="1:15" s="1" customFormat="1" hidden="1" outlineLevel="1">
      <c r="B6" s="5" t="s">
        <v>372</v>
      </c>
      <c r="C6" s="5" t="str">
        <f>"Fan Stool BL/BL"</f>
        <v>Fan Stool BL/BL</v>
      </c>
      <c r="D6" s="42">
        <f>400</f>
        <v>400</v>
      </c>
      <c r="E6" s="5" t="s">
        <v>371</v>
      </c>
      <c r="F6" s="5" t="str">
        <f>IF($E6="","","Fan Base Seat Pad - Black")</f>
        <v>Fan Base Seat Pad - Black</v>
      </c>
      <c r="G6" s="42">
        <f>IF($E6="","",100)</f>
        <v>100</v>
      </c>
      <c r="H6" s="7">
        <v>1</v>
      </c>
      <c r="I6" s="5">
        <v>0.81</v>
      </c>
      <c r="J6" s="5">
        <v>0.48</v>
      </c>
      <c r="K6" s="5">
        <v>0.48</v>
      </c>
      <c r="L6" s="5">
        <v>2.2000000000000002</v>
      </c>
      <c r="M6" s="5" t="s">
        <v>6301</v>
      </c>
      <c r="N6" s="5" t="s">
        <v>6302</v>
      </c>
      <c r="O6" s="5" t="s">
        <v>6303</v>
      </c>
    </row>
    <row r="7" spans="1:15" s="1" customFormat="1" hidden="1" outlineLevel="1">
      <c r="B7" s="5" t="s">
        <v>372</v>
      </c>
      <c r="C7" s="5" t="str">
        <f>"Fan Stool BL/BL"</f>
        <v>Fan Stool BL/BL</v>
      </c>
      <c r="D7" s="42">
        <f>400</f>
        <v>400</v>
      </c>
      <c r="E7" s="5" t="s">
        <v>254</v>
      </c>
      <c r="F7" s="5" t="str">
        <f>IF($E7="","","Fan Base - Black Birch")</f>
        <v>Fan Base - Black Birch</v>
      </c>
      <c r="G7" s="42">
        <f>IF($E7="","",300)</f>
        <v>300</v>
      </c>
      <c r="H7" s="7">
        <v>1</v>
      </c>
      <c r="I7" s="5">
        <v>0.46</v>
      </c>
      <c r="J7" s="5">
        <v>0.43</v>
      </c>
      <c r="K7" s="5">
        <v>0.43</v>
      </c>
      <c r="L7" s="5">
        <v>4.4000000000000004</v>
      </c>
      <c r="M7" s="5" t="s">
        <v>6301</v>
      </c>
      <c r="N7" s="5" t="s">
        <v>6302</v>
      </c>
      <c r="O7" s="5" t="s">
        <v>6304</v>
      </c>
    </row>
    <row r="8" spans="1:15" s="1" customFormat="1" collapsed="1">
      <c r="B8" s="5" t="s">
        <v>372</v>
      </c>
      <c r="C8" s="5" t="str">
        <f>"Fan Stool BL/BL"</f>
        <v>Fan Stool BL/BL</v>
      </c>
      <c r="D8" s="42">
        <f>400</f>
        <v>400</v>
      </c>
      <c r="E8" s="5"/>
      <c r="F8" s="5"/>
      <c r="G8" s="42"/>
      <c r="H8" s="7"/>
      <c r="I8" s="5"/>
      <c r="J8" s="5"/>
      <c r="K8" s="5"/>
      <c r="L8" s="5"/>
      <c r="M8" s="5"/>
      <c r="N8" s="5"/>
      <c r="O8" s="5" t="s">
        <v>1039</v>
      </c>
    </row>
    <row r="9" spans="1:15" hidden="1" outlineLevel="1">
      <c r="B9" s="5" t="s">
        <v>370</v>
      </c>
      <c r="C9" s="5" t="str">
        <f>"Fan Stool BL/NA"</f>
        <v>Fan Stool BL/NA</v>
      </c>
      <c r="D9" s="42">
        <f>420</f>
        <v>420</v>
      </c>
      <c r="E9" s="5" t="s">
        <v>371</v>
      </c>
      <c r="F9" s="5" t="str">
        <f>IF($E9="","","Fan Base Seat Pad - Black")</f>
        <v>Fan Base Seat Pad - Black</v>
      </c>
      <c r="G9" s="42">
        <f>IF($E9="","",100)</f>
        <v>100</v>
      </c>
      <c r="H9" s="7">
        <v>1</v>
      </c>
      <c r="I9" s="5">
        <v>0.81</v>
      </c>
      <c r="J9" s="5">
        <v>0.48</v>
      </c>
      <c r="K9" s="5">
        <v>0.48</v>
      </c>
      <c r="L9" s="5">
        <v>2.2000000000000002</v>
      </c>
      <c r="M9" s="5" t="s">
        <v>6301</v>
      </c>
      <c r="N9" s="5" t="s">
        <v>6302</v>
      </c>
      <c r="O9" s="5" t="s">
        <v>6303</v>
      </c>
    </row>
    <row r="10" spans="1:15" hidden="1" outlineLevel="1">
      <c r="B10" s="5" t="s">
        <v>370</v>
      </c>
      <c r="C10" s="5" t="str">
        <f>"Fan Stool BL/NA"</f>
        <v>Fan Stool BL/NA</v>
      </c>
      <c r="D10" s="42">
        <f>420</f>
        <v>420</v>
      </c>
      <c r="E10" s="5" t="s">
        <v>253</v>
      </c>
      <c r="F10" s="5" t="str">
        <f>IF($E10="","","Fan Base - Natural Oak")</f>
        <v>Fan Base - Natural Oak</v>
      </c>
      <c r="G10" s="42">
        <f>IF($E10="","",320)</f>
        <v>320</v>
      </c>
      <c r="H10" s="7">
        <v>1</v>
      </c>
      <c r="I10" s="5">
        <v>0.46</v>
      </c>
      <c r="J10" s="5">
        <v>0.43</v>
      </c>
      <c r="K10" s="5">
        <v>0.43</v>
      </c>
      <c r="L10" s="5">
        <v>4.4000000000000004</v>
      </c>
      <c r="M10" s="5" t="s">
        <v>6301</v>
      </c>
      <c r="N10" s="5" t="s">
        <v>6302</v>
      </c>
      <c r="O10" s="5" t="s">
        <v>6305</v>
      </c>
    </row>
    <row r="11" spans="1:15" collapsed="1">
      <c r="B11" s="5" t="s">
        <v>370</v>
      </c>
      <c r="C11" s="5" t="str">
        <f>"Fan Stool BL/NA"</f>
        <v>Fan Stool BL/NA</v>
      </c>
      <c r="D11" s="42">
        <f>420</f>
        <v>420</v>
      </c>
      <c r="E11" s="5"/>
      <c r="F11" s="5"/>
      <c r="G11" s="42"/>
      <c r="H11" s="7"/>
      <c r="I11" s="5"/>
      <c r="J11" s="5"/>
      <c r="K11" s="5"/>
      <c r="L11" s="5"/>
      <c r="M11" s="5"/>
      <c r="N11" s="5"/>
      <c r="O11" s="5" t="s">
        <v>1039</v>
      </c>
    </row>
    <row r="12" spans="1:15" hidden="1" outlineLevel="1">
      <c r="B12" s="5" t="s">
        <v>367</v>
      </c>
      <c r="C12" s="5" t="str">
        <f>"Flash Table Circle "</f>
        <v xml:space="preserve">Flash Table Circle </v>
      </c>
      <c r="D12" s="42">
        <f>480</f>
        <v>480</v>
      </c>
      <c r="E12" s="5" t="s">
        <v>369</v>
      </c>
      <c r="F12" s="5" t="str">
        <f>IF($E12="","","Flash Top - Circle")</f>
        <v>Flash Top - Circle</v>
      </c>
      <c r="G12" s="42">
        <f>IF($E12="","",180)</f>
        <v>180</v>
      </c>
      <c r="H12" s="7">
        <v>1</v>
      </c>
      <c r="I12" s="5">
        <v>0.09</v>
      </c>
      <c r="J12" s="5">
        <v>0.69</v>
      </c>
      <c r="K12" s="5">
        <v>0.69</v>
      </c>
      <c r="L12" s="5">
        <v>9</v>
      </c>
      <c r="M12" s="5" t="s">
        <v>6161</v>
      </c>
      <c r="N12" s="5" t="s">
        <v>6306</v>
      </c>
      <c r="O12" s="5" t="s">
        <v>6307</v>
      </c>
    </row>
    <row r="13" spans="1:15" hidden="1" outlineLevel="1">
      <c r="B13" s="5" t="s">
        <v>367</v>
      </c>
      <c r="C13" s="5" t="str">
        <f>"Flash Table Circle "</f>
        <v xml:space="preserve">Flash Table Circle </v>
      </c>
      <c r="D13" s="42">
        <f>480</f>
        <v>480</v>
      </c>
      <c r="E13" s="5" t="s">
        <v>368</v>
      </c>
      <c r="F13" s="5" t="str">
        <f>IF($E13="","","Flash Base - Circle")</f>
        <v>Flash Base - Circle</v>
      </c>
      <c r="G13" s="42">
        <f>IF($E13="","",300)</f>
        <v>300</v>
      </c>
      <c r="H13" s="7">
        <v>1</v>
      </c>
      <c r="I13" s="5">
        <v>0.45</v>
      </c>
      <c r="J13" s="5">
        <v>0.39</v>
      </c>
      <c r="K13" s="5">
        <v>0.39</v>
      </c>
      <c r="L13" s="5">
        <v>7.8</v>
      </c>
      <c r="M13" s="5" t="s">
        <v>6161</v>
      </c>
      <c r="N13" s="5" t="s">
        <v>6306</v>
      </c>
      <c r="O13" s="5" t="s">
        <v>6308</v>
      </c>
    </row>
    <row r="14" spans="1:15" collapsed="1">
      <c r="B14" s="5" t="s">
        <v>367</v>
      </c>
      <c r="C14" s="5" t="str">
        <f>"Flash Table Circle "</f>
        <v xml:space="preserve">Flash Table Circle </v>
      </c>
      <c r="D14" s="42">
        <f>480</f>
        <v>480</v>
      </c>
      <c r="E14" s="5"/>
      <c r="F14" s="5"/>
      <c r="G14" s="42"/>
      <c r="H14" s="7"/>
      <c r="I14" s="5"/>
      <c r="J14" s="5"/>
      <c r="K14" s="5"/>
      <c r="L14" s="5"/>
      <c r="M14" s="5"/>
      <c r="N14" s="5"/>
      <c r="O14" s="5" t="s">
        <v>1039</v>
      </c>
    </row>
    <row r="15" spans="1:15" hidden="1" outlineLevel="1">
      <c r="B15" s="5" t="s">
        <v>364</v>
      </c>
      <c r="C15" s="5" t="str">
        <f>"Flash Table Rectangle "</f>
        <v xml:space="preserve">Flash Table Rectangle </v>
      </c>
      <c r="D15" s="42">
        <f>380</f>
        <v>380</v>
      </c>
      <c r="E15" s="5" t="s">
        <v>366</v>
      </c>
      <c r="F15" s="5" t="str">
        <f>IF($E15="","","Flash Top - Rectangle")</f>
        <v>Flash Top - Rectangle</v>
      </c>
      <c r="G15" s="42">
        <f>IF($E15="","",115)</f>
        <v>115</v>
      </c>
      <c r="H15" s="7">
        <v>1</v>
      </c>
      <c r="I15" s="5">
        <v>0.1</v>
      </c>
      <c r="J15" s="5">
        <v>0.62</v>
      </c>
      <c r="K15" s="5">
        <v>0.41</v>
      </c>
      <c r="L15" s="5">
        <v>5.45</v>
      </c>
      <c r="M15" s="5" t="s">
        <v>6161</v>
      </c>
      <c r="N15" s="5" t="s">
        <v>6306</v>
      </c>
      <c r="O15" s="5" t="s">
        <v>6309</v>
      </c>
    </row>
    <row r="16" spans="1:15" hidden="1" outlineLevel="1">
      <c r="B16" s="5" t="s">
        <v>364</v>
      </c>
      <c r="C16" s="5" t="str">
        <f>"Flash Table Rectangle "</f>
        <v xml:space="preserve">Flash Table Rectangle </v>
      </c>
      <c r="D16" s="42">
        <f>380</f>
        <v>380</v>
      </c>
      <c r="E16" s="5" t="s">
        <v>365</v>
      </c>
      <c r="F16" s="5" t="str">
        <f>IF($E16="","","Flash Base - Rectangular")</f>
        <v>Flash Base - Rectangular</v>
      </c>
      <c r="G16" s="42">
        <f>IF($E16="","",265)</f>
        <v>265</v>
      </c>
      <c r="H16" s="7">
        <v>1</v>
      </c>
      <c r="I16" s="5">
        <v>0.56000000000000005</v>
      </c>
      <c r="J16" s="5">
        <v>0.32</v>
      </c>
      <c r="K16" s="5">
        <v>0.31</v>
      </c>
      <c r="L16" s="5">
        <v>6.4</v>
      </c>
      <c r="M16" s="5" t="s">
        <v>6161</v>
      </c>
      <c r="N16" s="5" t="s">
        <v>6306</v>
      </c>
      <c r="O16" s="5" t="s">
        <v>6310</v>
      </c>
    </row>
    <row r="17" spans="2:15" collapsed="1">
      <c r="B17" s="5" t="s">
        <v>364</v>
      </c>
      <c r="C17" s="5" t="str">
        <f>"Flash Table Rectangle "</f>
        <v xml:space="preserve">Flash Table Rectangle </v>
      </c>
      <c r="D17" s="42">
        <f>380</f>
        <v>380</v>
      </c>
      <c r="E17" s="5"/>
      <c r="F17" s="5"/>
      <c r="G17" s="42"/>
      <c r="H17" s="7"/>
      <c r="I17" s="5"/>
      <c r="J17" s="5"/>
      <c r="K17" s="5"/>
      <c r="L17" s="5"/>
      <c r="M17" s="5"/>
      <c r="N17" s="5"/>
      <c r="O17" s="5" t="s">
        <v>1039</v>
      </c>
    </row>
    <row r="18" spans="2:15" hidden="1" outlineLevel="1">
      <c r="B18" s="5" t="s">
        <v>361</v>
      </c>
      <c r="C18" s="5" t="str">
        <f>"Flash Table Square"</f>
        <v>Flash Table Square</v>
      </c>
      <c r="D18" s="42">
        <f>690</f>
        <v>690</v>
      </c>
      <c r="E18" s="5" t="s">
        <v>363</v>
      </c>
      <c r="F18" s="5" t="str">
        <f>IF($E18="","","Flash - Square")</f>
        <v>Flash - Square</v>
      </c>
      <c r="G18" s="42">
        <f>IF($E18="","",260)</f>
        <v>260</v>
      </c>
      <c r="H18" s="7">
        <v>1</v>
      </c>
      <c r="I18" s="5">
        <v>0.1</v>
      </c>
      <c r="J18" s="5">
        <v>0.9</v>
      </c>
      <c r="K18" s="5">
        <v>0.9</v>
      </c>
      <c r="L18" s="5">
        <v>16.850000000000001</v>
      </c>
      <c r="M18" s="5" t="s">
        <v>6161</v>
      </c>
      <c r="N18" s="5" t="s">
        <v>6306</v>
      </c>
      <c r="O18" s="5" t="s">
        <v>6311</v>
      </c>
    </row>
    <row r="19" spans="2:15" hidden="1" outlineLevel="1">
      <c r="B19" s="5" t="s">
        <v>361</v>
      </c>
      <c r="C19" s="5" t="str">
        <f>"Flash Table Square"</f>
        <v>Flash Table Square</v>
      </c>
      <c r="D19" s="42">
        <f>690</f>
        <v>690</v>
      </c>
      <c r="E19" s="5" t="s">
        <v>362</v>
      </c>
      <c r="F19" s="5" t="str">
        <f>IF($E19="","","Flash Base - Square")</f>
        <v>Flash Base - Square</v>
      </c>
      <c r="G19" s="42">
        <f>IF($E19="","",430)</f>
        <v>430</v>
      </c>
      <c r="H19" s="7">
        <v>1</v>
      </c>
      <c r="I19" s="5">
        <v>0.35</v>
      </c>
      <c r="J19" s="5">
        <v>0.46</v>
      </c>
      <c r="K19" s="5">
        <v>0.55000000000000004</v>
      </c>
      <c r="L19" s="5">
        <v>11.85</v>
      </c>
      <c r="M19" s="5" t="s">
        <v>6161</v>
      </c>
      <c r="N19" s="5" t="s">
        <v>6306</v>
      </c>
      <c r="O19" s="5" t="s">
        <v>6312</v>
      </c>
    </row>
    <row r="20" spans="2:15" collapsed="1">
      <c r="B20" s="5" t="s">
        <v>361</v>
      </c>
      <c r="C20" s="5" t="str">
        <f>"Flash Table Square"</f>
        <v>Flash Table Square</v>
      </c>
      <c r="D20" s="42">
        <f>690</f>
        <v>690</v>
      </c>
      <c r="E20" s="5"/>
      <c r="F20" s="5"/>
      <c r="G20" s="42"/>
      <c r="H20" s="7"/>
      <c r="I20" s="5"/>
      <c r="J20" s="5"/>
      <c r="K20" s="5"/>
      <c r="L20" s="5"/>
      <c r="M20" s="5"/>
      <c r="N20" s="5"/>
      <c r="O20" s="5" t="s">
        <v>1039</v>
      </c>
    </row>
    <row r="21" spans="2:15" hidden="1" outlineLevel="1">
      <c r="B21" s="5" t="s">
        <v>360</v>
      </c>
      <c r="C21" s="5" t="str">
        <f>"Mass Console Brass"</f>
        <v>Mass Console Brass</v>
      </c>
      <c r="D21" s="42">
        <f>2700</f>
        <v>2700</v>
      </c>
      <c r="E21" s="5"/>
      <c r="F21" s="5"/>
      <c r="G21" s="42"/>
      <c r="H21" s="7"/>
      <c r="I21" s="5">
        <v>1.9</v>
      </c>
      <c r="J21" s="5">
        <v>0.3</v>
      </c>
      <c r="K21" s="5">
        <v>0.62</v>
      </c>
      <c r="L21" s="5">
        <v>55</v>
      </c>
      <c r="M21" s="5" t="s">
        <v>6161</v>
      </c>
      <c r="N21" s="5" t="s">
        <v>6306</v>
      </c>
      <c r="O21" s="5" t="s">
        <v>6313</v>
      </c>
    </row>
    <row r="22" spans="2:15" hidden="1" outlineLevel="1">
      <c r="B22" s="5" t="s">
        <v>357</v>
      </c>
      <c r="C22" s="5" t="str">
        <f>"Mass Dining Table Brass"</f>
        <v>Mass Dining Table Brass</v>
      </c>
      <c r="D22" s="42">
        <f>9640</f>
        <v>9640</v>
      </c>
      <c r="E22" s="5" t="s">
        <v>359</v>
      </c>
      <c r="F22" s="5" t="str">
        <f>IF($E22="","","Mass Dining Top Brass")</f>
        <v>Mass Dining Top Brass</v>
      </c>
      <c r="G22" s="42">
        <f>IF($E22="","",5000)</f>
        <v>5000</v>
      </c>
      <c r="H22" s="7">
        <v>1</v>
      </c>
      <c r="I22" s="5">
        <v>0.14000000000000001</v>
      </c>
      <c r="J22" s="5">
        <v>1.08</v>
      </c>
      <c r="K22" s="5">
        <v>3.07</v>
      </c>
      <c r="L22" s="5">
        <v>83</v>
      </c>
      <c r="M22" s="5" t="s">
        <v>6161</v>
      </c>
      <c r="N22" s="5" t="s">
        <v>6306</v>
      </c>
      <c r="O22" s="5" t="s">
        <v>6314</v>
      </c>
    </row>
    <row r="23" spans="2:15" hidden="1" outlineLevel="1">
      <c r="B23" s="5" t="s">
        <v>357</v>
      </c>
      <c r="C23" s="5" t="str">
        <f>"Mass Dining Table Brass"</f>
        <v>Mass Dining Table Brass</v>
      </c>
      <c r="D23" s="42">
        <f>9640</f>
        <v>9640</v>
      </c>
      <c r="E23" s="5" t="s">
        <v>358</v>
      </c>
      <c r="F23" s="5" t="str">
        <f>IF($E23="","","Mass  Dining Legs Brass")</f>
        <v>Mass  Dining Legs Brass</v>
      </c>
      <c r="G23" s="42">
        <f>IF($E23="","",4640)</f>
        <v>4640</v>
      </c>
      <c r="H23" s="7">
        <v>1</v>
      </c>
      <c r="I23" s="5">
        <v>2.16</v>
      </c>
      <c r="J23" s="5">
        <v>0.61</v>
      </c>
      <c r="K23" s="5">
        <v>0.69</v>
      </c>
      <c r="L23" s="5">
        <v>50</v>
      </c>
      <c r="M23" s="5" t="s">
        <v>6161</v>
      </c>
      <c r="N23" s="5" t="s">
        <v>6315</v>
      </c>
      <c r="O23" s="5" t="s">
        <v>6316</v>
      </c>
    </row>
    <row r="24" spans="2:15" collapsed="1">
      <c r="B24" s="5" t="s">
        <v>357</v>
      </c>
      <c r="C24" s="5" t="str">
        <f>"Mass Dining Table Brass"</f>
        <v>Mass Dining Table Brass</v>
      </c>
      <c r="D24" s="42">
        <f>9640</f>
        <v>9640</v>
      </c>
      <c r="E24" s="5"/>
      <c r="F24" s="5"/>
      <c r="G24" s="42"/>
      <c r="H24" s="7"/>
      <c r="I24" s="5"/>
      <c r="J24" s="5"/>
      <c r="K24" s="5"/>
      <c r="L24" s="5"/>
      <c r="M24" s="5"/>
      <c r="N24" s="5"/>
      <c r="O24" s="5" t="s">
        <v>1039</v>
      </c>
    </row>
    <row r="25" spans="2:15">
      <c r="B25" s="5" t="s">
        <v>356</v>
      </c>
      <c r="C25" s="5" t="str">
        <f>"Offcut Stool 750mm Natural"</f>
        <v>Offcut Stool 750mm Natural</v>
      </c>
      <c r="D25" s="42">
        <f>275</f>
        <v>275</v>
      </c>
      <c r="E25" s="5"/>
      <c r="F25" s="5"/>
      <c r="G25" s="42"/>
      <c r="H25" s="7"/>
      <c r="I25" s="5">
        <v>0.88</v>
      </c>
      <c r="J25" s="5">
        <v>0.46</v>
      </c>
      <c r="K25" s="5">
        <v>0.32</v>
      </c>
      <c r="L25" s="5">
        <v>8.8000000000000007</v>
      </c>
      <c r="M25" s="5" t="s">
        <v>6301</v>
      </c>
      <c r="N25" s="5" t="s">
        <v>6299</v>
      </c>
      <c r="O25" s="5" t="s">
        <v>6317</v>
      </c>
    </row>
    <row r="26" spans="2:15">
      <c r="B26" s="5" t="s">
        <v>355</v>
      </c>
      <c r="C26" s="5" t="str">
        <f>"Screw Stool"</f>
        <v>Screw Stool</v>
      </c>
      <c r="D26" s="42">
        <f>520</f>
        <v>520</v>
      </c>
      <c r="E26" s="5"/>
      <c r="F26" s="5"/>
      <c r="G26" s="42"/>
      <c r="H26" s="7"/>
      <c r="I26" s="5">
        <v>0.52</v>
      </c>
      <c r="J26" s="5">
        <v>0.46</v>
      </c>
      <c r="K26" s="5">
        <v>0.5</v>
      </c>
      <c r="L26" s="5">
        <v>19</v>
      </c>
      <c r="M26" s="5" t="s">
        <v>6318</v>
      </c>
      <c r="N26" s="5" t="s">
        <v>6299</v>
      </c>
      <c r="O26" s="5" t="s">
        <v>6319</v>
      </c>
    </row>
    <row r="27" spans="2:15" hidden="1" outlineLevel="1">
      <c r="B27" s="5" t="s">
        <v>351</v>
      </c>
      <c r="C27" s="5" t="str">
        <f>"Slab Table Black "</f>
        <v xml:space="preserve">Slab Table Black </v>
      </c>
      <c r="D27" s="42">
        <f>1880</f>
        <v>1880</v>
      </c>
      <c r="E27" s="5" t="s">
        <v>354</v>
      </c>
      <c r="F27" s="5" t="str">
        <f>IF($E27="","","Slab Dining Table Top - Black")</f>
        <v>Slab Dining Table Top - Black</v>
      </c>
      <c r="G27" s="42">
        <f>IF($E27="","",500)</f>
        <v>500</v>
      </c>
      <c r="H27" s="7">
        <v>1</v>
      </c>
      <c r="I27" s="5">
        <v>0.18</v>
      </c>
      <c r="J27" s="5">
        <v>1.05</v>
      </c>
      <c r="K27" s="5">
        <v>2.08</v>
      </c>
      <c r="L27" s="5">
        <v>41.75</v>
      </c>
      <c r="M27" s="5" t="s">
        <v>6301</v>
      </c>
      <c r="N27" s="5" t="s">
        <v>6299</v>
      </c>
      <c r="O27" s="5" t="s">
        <v>6320</v>
      </c>
    </row>
    <row r="28" spans="2:15" hidden="1" outlineLevel="1">
      <c r="B28" s="5" t="s">
        <v>351</v>
      </c>
      <c r="C28" s="5" t="str">
        <f>"Slab Table Black "</f>
        <v xml:space="preserve">Slab Table Black </v>
      </c>
      <c r="D28" s="42">
        <f>1880</f>
        <v>1880</v>
      </c>
      <c r="E28" s="5" t="s">
        <v>353</v>
      </c>
      <c r="F28" s="5" t="str">
        <f>IF($E28="","","Slab Dining Table Legs - Black")</f>
        <v>Slab Dining Table Legs - Black</v>
      </c>
      <c r="G28" s="42">
        <f>IF($E28="","",500)</f>
        <v>500</v>
      </c>
      <c r="H28" s="7">
        <v>1</v>
      </c>
      <c r="I28" s="5">
        <v>0.13</v>
      </c>
      <c r="J28" s="5">
        <v>0.98</v>
      </c>
      <c r="K28" s="5">
        <v>0.47</v>
      </c>
      <c r="L28" s="5">
        <v>11.8</v>
      </c>
      <c r="M28" s="5" t="s">
        <v>6301</v>
      </c>
      <c r="N28" s="5" t="s">
        <v>6299</v>
      </c>
      <c r="O28" s="5" t="s">
        <v>6321</v>
      </c>
    </row>
    <row r="29" spans="2:15" hidden="1" outlineLevel="1">
      <c r="B29" s="5" t="s">
        <v>351</v>
      </c>
      <c r="C29" s="5" t="str">
        <f>"Slab Table Black "</f>
        <v xml:space="preserve">Slab Table Black </v>
      </c>
      <c r="D29" s="42">
        <f>1880</f>
        <v>1880</v>
      </c>
      <c r="E29" s="5" t="s">
        <v>352</v>
      </c>
      <c r="F29" s="5" t="str">
        <f>IF($E29="","","Slab Dining Table Beam - Black")</f>
        <v>Slab Dining Table Beam - Black</v>
      </c>
      <c r="G29" s="42">
        <f>IF($E29="","",880)</f>
        <v>880</v>
      </c>
      <c r="H29" s="7">
        <v>1</v>
      </c>
      <c r="I29" s="5">
        <v>7.0000000000000007E-2</v>
      </c>
      <c r="J29" s="5">
        <v>0.16</v>
      </c>
      <c r="K29" s="5">
        <v>0.96</v>
      </c>
      <c r="L29" s="5">
        <v>3.3</v>
      </c>
      <c r="M29" s="5" t="s">
        <v>6301</v>
      </c>
      <c r="N29" s="5" t="s">
        <v>6299</v>
      </c>
      <c r="O29" s="5" t="s">
        <v>6322</v>
      </c>
    </row>
    <row r="30" spans="2:15" collapsed="1">
      <c r="B30" s="5" t="s">
        <v>351</v>
      </c>
      <c r="C30" s="5" t="str">
        <f>"Slab Table Black "</f>
        <v xml:space="preserve">Slab Table Black </v>
      </c>
      <c r="D30" s="42">
        <f>1880</f>
        <v>1880</v>
      </c>
      <c r="E30" s="5"/>
      <c r="F30" s="5"/>
      <c r="G30" s="42"/>
      <c r="H30" s="7"/>
      <c r="I30" s="5"/>
      <c r="J30" s="5"/>
      <c r="K30" s="5"/>
      <c r="L30" s="5"/>
      <c r="M30" s="5"/>
      <c r="N30" s="5"/>
      <c r="O30" s="5" t="s">
        <v>1039</v>
      </c>
    </row>
    <row r="31" spans="2:15" hidden="1" outlineLevel="1">
      <c r="B31" s="5" t="s">
        <v>347</v>
      </c>
      <c r="C31" s="5" t="str">
        <f>"Slab Table Fumed"</f>
        <v>Slab Table Fumed</v>
      </c>
      <c r="D31" s="42">
        <f>2340</f>
        <v>2340</v>
      </c>
      <c r="E31" s="5" t="s">
        <v>350</v>
      </c>
      <c r="F31" s="5" t="str">
        <f>IF($E31="","","Slab Dining Table Top -Fumed")</f>
        <v>Slab Dining Table Top -Fumed</v>
      </c>
      <c r="G31" s="42">
        <f>IF($E31="","",1000)</f>
        <v>1000</v>
      </c>
      <c r="H31" s="7">
        <v>1</v>
      </c>
      <c r="I31" s="5">
        <v>0.18</v>
      </c>
      <c r="J31" s="5">
        <v>1.05</v>
      </c>
      <c r="K31" s="5">
        <v>2.08</v>
      </c>
      <c r="L31" s="5">
        <v>41.75</v>
      </c>
      <c r="M31" s="5" t="s">
        <v>6301</v>
      </c>
      <c r="N31" s="5" t="s">
        <v>6299</v>
      </c>
      <c r="O31" s="5" t="s">
        <v>6323</v>
      </c>
    </row>
    <row r="32" spans="2:15" hidden="1" outlineLevel="1">
      <c r="B32" s="5" t="s">
        <v>347</v>
      </c>
      <c r="C32" s="5" t="str">
        <f>"Slab Table Fumed"</f>
        <v>Slab Table Fumed</v>
      </c>
      <c r="D32" s="42">
        <f>2340</f>
        <v>2340</v>
      </c>
      <c r="E32" s="5" t="s">
        <v>349</v>
      </c>
      <c r="F32" s="5" t="str">
        <f>IF($E32="","","Slab Dining Table Legs-Fumed")</f>
        <v>Slab Dining Table Legs-Fumed</v>
      </c>
      <c r="G32" s="42">
        <f>IF($E32="","",1000)</f>
        <v>1000</v>
      </c>
      <c r="H32" s="7">
        <v>1</v>
      </c>
      <c r="I32" s="5">
        <v>0.08</v>
      </c>
      <c r="J32" s="5">
        <v>0.16</v>
      </c>
      <c r="K32" s="5">
        <v>0.95</v>
      </c>
      <c r="L32" s="5">
        <v>11.8</v>
      </c>
      <c r="M32" s="5" t="s">
        <v>6301</v>
      </c>
      <c r="N32" s="5" t="s">
        <v>6299</v>
      </c>
      <c r="O32" s="5" t="s">
        <v>6324</v>
      </c>
    </row>
    <row r="33" spans="2:15" hidden="1" outlineLevel="1">
      <c r="B33" s="5" t="s">
        <v>347</v>
      </c>
      <c r="C33" s="5" t="str">
        <f>"Slab Table Fumed"</f>
        <v>Slab Table Fumed</v>
      </c>
      <c r="D33" s="42">
        <f>2340</f>
        <v>2340</v>
      </c>
      <c r="E33" s="5" t="s">
        <v>348</v>
      </c>
      <c r="F33" s="5" t="str">
        <f>IF($E33="","","Slab Dining Table Beam-Fumed")</f>
        <v>Slab Dining Table Beam-Fumed</v>
      </c>
      <c r="G33" s="42">
        <f>IF($E33="","",340)</f>
        <v>340</v>
      </c>
      <c r="H33" s="7">
        <v>1</v>
      </c>
      <c r="I33" s="5">
        <v>0.12</v>
      </c>
      <c r="J33" s="5">
        <v>0.48</v>
      </c>
      <c r="K33" s="5">
        <v>0.98</v>
      </c>
      <c r="L33" s="5">
        <v>3.3</v>
      </c>
      <c r="M33" s="5" t="s">
        <v>6301</v>
      </c>
      <c r="N33" s="5" t="s">
        <v>6299</v>
      </c>
      <c r="O33" s="5" t="s">
        <v>6325</v>
      </c>
    </row>
    <row r="34" spans="2:15" collapsed="1">
      <c r="B34" s="5" t="s">
        <v>347</v>
      </c>
      <c r="C34" s="5" t="str">
        <f>"Slab Table Fumed"</f>
        <v>Slab Table Fumed</v>
      </c>
      <c r="D34" s="42">
        <f>2340</f>
        <v>2340</v>
      </c>
      <c r="E34" s="5"/>
      <c r="F34" s="5"/>
      <c r="G34" s="42"/>
      <c r="H34" s="7"/>
      <c r="I34" s="5"/>
      <c r="J34" s="5"/>
      <c r="K34" s="5"/>
      <c r="L34" s="5"/>
      <c r="M34" s="5"/>
      <c r="N34" s="5"/>
      <c r="O34" s="5" t="s">
        <v>1039</v>
      </c>
    </row>
    <row r="35" spans="2:15" hidden="1" outlineLevel="1">
      <c r="B35" s="5" t="s">
        <v>343</v>
      </c>
      <c r="C35" s="5" t="str">
        <f>"Slab Table Natural Oak"</f>
        <v>Slab Table Natural Oak</v>
      </c>
      <c r="D35" s="42">
        <f>1880</f>
        <v>1880</v>
      </c>
      <c r="E35" s="5" t="s">
        <v>346</v>
      </c>
      <c r="F35" s="5" t="str">
        <f>IF($E35="","","Slab Dining Table Top -Natural")</f>
        <v>Slab Dining Table Top -Natural</v>
      </c>
      <c r="G35" s="42">
        <f>IF($E35="","",500)</f>
        <v>500</v>
      </c>
      <c r="H35" s="7">
        <v>1</v>
      </c>
      <c r="I35" s="5">
        <v>0.06</v>
      </c>
      <c r="J35" s="5">
        <v>1.01</v>
      </c>
      <c r="K35" s="5">
        <v>2.06</v>
      </c>
      <c r="L35" s="5">
        <v>41.75</v>
      </c>
      <c r="M35" s="5" t="s">
        <v>6301</v>
      </c>
      <c r="N35" s="5" t="s">
        <v>6326</v>
      </c>
      <c r="O35" s="5" t="s">
        <v>6327</v>
      </c>
    </row>
    <row r="36" spans="2:15" hidden="1" outlineLevel="1">
      <c r="B36" s="5" t="s">
        <v>343</v>
      </c>
      <c r="C36" s="5" t="str">
        <f>"Slab Table Natural Oak"</f>
        <v>Slab Table Natural Oak</v>
      </c>
      <c r="D36" s="42">
        <f>1880</f>
        <v>1880</v>
      </c>
      <c r="E36" s="5" t="s">
        <v>345</v>
      </c>
      <c r="F36" s="5" t="str">
        <f>IF($E36="","","Slab Dining Table Legs-Natural")</f>
        <v>Slab Dining Table Legs-Natural</v>
      </c>
      <c r="G36" s="42">
        <f>IF($E36="","",500)</f>
        <v>500</v>
      </c>
      <c r="H36" s="7">
        <v>1</v>
      </c>
      <c r="I36" s="5">
        <v>0.12</v>
      </c>
      <c r="J36" s="5">
        <v>0.96</v>
      </c>
      <c r="K36" s="5">
        <v>0.47</v>
      </c>
      <c r="L36" s="5">
        <v>11.8</v>
      </c>
      <c r="M36" s="5" t="s">
        <v>6301</v>
      </c>
      <c r="N36" s="5" t="s">
        <v>6326</v>
      </c>
      <c r="O36" s="5" t="s">
        <v>6328</v>
      </c>
    </row>
    <row r="37" spans="2:15" hidden="1" outlineLevel="1">
      <c r="B37" s="5" t="s">
        <v>343</v>
      </c>
      <c r="C37" s="5" t="str">
        <f>"Slab Table Natural Oak"</f>
        <v>Slab Table Natural Oak</v>
      </c>
      <c r="D37" s="42">
        <f>1880</f>
        <v>1880</v>
      </c>
      <c r="E37" s="5" t="s">
        <v>344</v>
      </c>
      <c r="F37" s="5" t="str">
        <f>IF($E37="","","Slab Dining Table Beam-Natural")</f>
        <v>Slab Dining Table Beam-Natural</v>
      </c>
      <c r="G37" s="42">
        <f>IF($E37="","",880)</f>
        <v>880</v>
      </c>
      <c r="H37" s="7">
        <v>1</v>
      </c>
      <c r="I37" s="5">
        <v>7.0000000000000007E-2</v>
      </c>
      <c r="J37" s="5">
        <v>0.16</v>
      </c>
      <c r="K37" s="5">
        <v>0.96</v>
      </c>
      <c r="L37" s="5">
        <v>3.3</v>
      </c>
      <c r="M37" s="5" t="s">
        <v>6301</v>
      </c>
      <c r="N37" s="5" t="s">
        <v>6326</v>
      </c>
      <c r="O37" s="5" t="s">
        <v>1039</v>
      </c>
    </row>
    <row r="38" spans="2:15" collapsed="1">
      <c r="B38" s="5" t="s">
        <v>343</v>
      </c>
      <c r="C38" s="5" t="str">
        <f>"Slab Table Natural Oak"</f>
        <v>Slab Table Natural Oak</v>
      </c>
      <c r="D38" s="42">
        <f>1880</f>
        <v>1880</v>
      </c>
      <c r="E38" s="5"/>
      <c r="F38" s="5"/>
      <c r="G38" s="42"/>
      <c r="H38" s="7"/>
      <c r="I38" s="5"/>
      <c r="J38" s="5"/>
      <c r="K38" s="5"/>
      <c r="L38" s="5"/>
      <c r="M38" s="5"/>
      <c r="N38" s="5"/>
      <c r="O38" s="5" t="s">
        <v>1039</v>
      </c>
    </row>
    <row r="39" spans="2:15" hidden="1" outlineLevel="1">
      <c r="B39" s="5" t="s">
        <v>338</v>
      </c>
      <c r="C39" s="5" t="str">
        <f>"Slab desk 1600x 2400 birch"</f>
        <v>Slab desk 1600x 2400 birch</v>
      </c>
      <c r="D39" s="42">
        <f>2300</f>
        <v>2300</v>
      </c>
      <c r="E39" s="5" t="s">
        <v>342</v>
      </c>
      <c r="F39" s="5" t="str">
        <f>IF($E39="","","Slab dsk 1600x2400 top1 birch")</f>
        <v>Slab dsk 1600x2400 top1 birch</v>
      </c>
      <c r="G39" s="42">
        <f>IF($E39="","",850)</f>
        <v>850</v>
      </c>
      <c r="H39" s="7">
        <v>1</v>
      </c>
      <c r="I39" s="5">
        <v>0.05</v>
      </c>
      <c r="J39" s="5">
        <v>0.87</v>
      </c>
      <c r="K39" s="5">
        <v>2.4900000000000002</v>
      </c>
      <c r="L39" s="5">
        <v>33</v>
      </c>
      <c r="M39" s="5" t="s">
        <v>6301</v>
      </c>
      <c r="N39" s="5" t="s">
        <v>6299</v>
      </c>
      <c r="O39" s="5" t="s">
        <v>1039</v>
      </c>
    </row>
    <row r="40" spans="2:15" hidden="1" outlineLevel="1">
      <c r="B40" s="5" t="s">
        <v>338</v>
      </c>
      <c r="C40" s="5" t="str">
        <f>"Slab desk 1600x 2400 birch"</f>
        <v>Slab desk 1600x 2400 birch</v>
      </c>
      <c r="D40" s="42">
        <f>2300</f>
        <v>2300</v>
      </c>
      <c r="E40" s="5" t="s">
        <v>341</v>
      </c>
      <c r="F40" s="5" t="str">
        <f>IF($E40="","","Slab dsk 1600x2400 top2 birch")</f>
        <v>Slab dsk 1600x2400 top2 birch</v>
      </c>
      <c r="G40" s="42">
        <f>IF($E40="","",850)</f>
        <v>850</v>
      </c>
      <c r="H40" s="7">
        <v>1</v>
      </c>
      <c r="I40" s="5">
        <v>0.05</v>
      </c>
      <c r="J40" s="5">
        <v>0.87</v>
      </c>
      <c r="K40" s="5">
        <v>2.4900000000000002</v>
      </c>
      <c r="L40" s="5">
        <v>33</v>
      </c>
      <c r="M40" s="5" t="s">
        <v>6301</v>
      </c>
      <c r="N40" s="5" t="s">
        <v>6299</v>
      </c>
      <c r="O40" s="5" t="s">
        <v>1039</v>
      </c>
    </row>
    <row r="41" spans="2:15" hidden="1" outlineLevel="1">
      <c r="B41" s="5" t="s">
        <v>338</v>
      </c>
      <c r="C41" s="5" t="str">
        <f>"Slab desk 1600x 2400 birch"</f>
        <v>Slab desk 1600x 2400 birch</v>
      </c>
      <c r="D41" s="42">
        <f>2300</f>
        <v>2300</v>
      </c>
      <c r="E41" s="5" t="s">
        <v>340</v>
      </c>
      <c r="F41" s="5" t="str">
        <f>IF($E41="","","Slab dsk 1600x2400 beam birch")</f>
        <v>Slab dsk 1600x2400 beam birch</v>
      </c>
      <c r="G41" s="42">
        <f>IF($E41="","",300)</f>
        <v>300</v>
      </c>
      <c r="H41" s="7">
        <v>1</v>
      </c>
      <c r="I41" s="5">
        <v>0.13</v>
      </c>
      <c r="J41" s="5">
        <v>0.16</v>
      </c>
      <c r="K41" s="5">
        <v>1.89</v>
      </c>
      <c r="L41" s="5">
        <v>14</v>
      </c>
      <c r="M41" s="5" t="s">
        <v>6301</v>
      </c>
      <c r="N41" s="5" t="s">
        <v>6299</v>
      </c>
      <c r="O41" s="5" t="s">
        <v>1039</v>
      </c>
    </row>
    <row r="42" spans="2:15" hidden="1" outlineLevel="1">
      <c r="B42" s="5" t="s">
        <v>338</v>
      </c>
      <c r="C42" s="5" t="str">
        <f>"Slab desk 1600x 2400 birch"</f>
        <v>Slab desk 1600x 2400 birch</v>
      </c>
      <c r="D42" s="42">
        <f>2300</f>
        <v>2300</v>
      </c>
      <c r="E42" s="5" t="s">
        <v>339</v>
      </c>
      <c r="F42" s="5" t="str">
        <f>IF($E42="","","Slab dsk 1600x 2400 legs birch")</f>
        <v>Slab dsk 1600x 2400 legs birch</v>
      </c>
      <c r="G42" s="42">
        <f>IF($E42="","",300)</f>
        <v>300</v>
      </c>
      <c r="H42" s="7">
        <v>1</v>
      </c>
      <c r="I42" s="5">
        <v>0.18</v>
      </c>
      <c r="J42" s="5">
        <v>0.42</v>
      </c>
      <c r="K42" s="5">
        <v>0.78</v>
      </c>
      <c r="L42" s="5">
        <v>9</v>
      </c>
      <c r="M42" s="5" t="s">
        <v>6301</v>
      </c>
      <c r="N42" s="5" t="s">
        <v>6299</v>
      </c>
      <c r="O42" s="5" t="s">
        <v>1039</v>
      </c>
    </row>
    <row r="43" spans="2:15" collapsed="1">
      <c r="B43" s="5" t="s">
        <v>338</v>
      </c>
      <c r="C43" s="5" t="str">
        <f>"Slab desk 1600x 2400 birch"</f>
        <v>Slab desk 1600x 2400 birch</v>
      </c>
      <c r="D43" s="42">
        <f>2300</f>
        <v>2300</v>
      </c>
      <c r="E43" s="5"/>
      <c r="F43" s="5"/>
      <c r="G43" s="42"/>
      <c r="H43" s="7"/>
      <c r="I43" s="5"/>
      <c r="J43" s="5"/>
      <c r="K43" s="5"/>
      <c r="L43" s="5"/>
      <c r="M43" s="5"/>
      <c r="N43" s="5"/>
      <c r="O43" s="5" t="s">
        <v>1039</v>
      </c>
    </row>
    <row r="44" spans="2:15" hidden="1" outlineLevel="1">
      <c r="B44" s="5" t="s">
        <v>332</v>
      </c>
      <c r="C44" s="5" t="str">
        <f t="shared" ref="C44:C49" si="0">"Slab desk 1600 x 3000 birch"</f>
        <v>Slab desk 1600 x 3000 birch</v>
      </c>
      <c r="D44" s="42">
        <f>2900</f>
        <v>2900</v>
      </c>
      <c r="E44" s="5" t="s">
        <v>337</v>
      </c>
      <c r="F44" s="5" t="str">
        <f>IF($E44="","","Slab dsk 1600x3000 top1 birch")</f>
        <v>Slab dsk 1600x3000 top1 birch</v>
      </c>
      <c r="G44" s="42">
        <f>IF($E44="","",1000)</f>
        <v>1000</v>
      </c>
      <c r="H44" s="7">
        <v>1</v>
      </c>
      <c r="I44" s="5">
        <v>0.09</v>
      </c>
      <c r="J44" s="5">
        <v>0.87</v>
      </c>
      <c r="K44" s="5">
        <v>1.59</v>
      </c>
      <c r="L44" s="5">
        <v>41</v>
      </c>
      <c r="M44" s="5" t="s">
        <v>6301</v>
      </c>
      <c r="N44" s="5" t="s">
        <v>6299</v>
      </c>
      <c r="O44" s="5" t="s">
        <v>1039</v>
      </c>
    </row>
    <row r="45" spans="2:15" hidden="1" outlineLevel="1">
      <c r="B45" s="5" t="s">
        <v>332</v>
      </c>
      <c r="C45" s="5" t="str">
        <f t="shared" si="0"/>
        <v>Slab desk 1600 x 3000 birch</v>
      </c>
      <c r="D45" s="42">
        <f>2900</f>
        <v>2900</v>
      </c>
      <c r="E45" s="5" t="s">
        <v>336</v>
      </c>
      <c r="F45" s="5" t="str">
        <f>IF($E45="","","Slab dsk 1600x3000 top2 birch")</f>
        <v>Slab dsk 1600x3000 top2 birch</v>
      </c>
      <c r="G45" s="42">
        <f>IF($E45="","",1000)</f>
        <v>1000</v>
      </c>
      <c r="H45" s="7">
        <v>1</v>
      </c>
      <c r="I45" s="5">
        <v>0.09</v>
      </c>
      <c r="J45" s="5">
        <v>0.87</v>
      </c>
      <c r="K45" s="5">
        <v>1.59</v>
      </c>
      <c r="L45" s="5">
        <v>41</v>
      </c>
      <c r="M45" s="5" t="s">
        <v>6301</v>
      </c>
      <c r="N45" s="5" t="s">
        <v>6299</v>
      </c>
      <c r="O45" s="5" t="s">
        <v>1039</v>
      </c>
    </row>
    <row r="46" spans="2:15" hidden="1" outlineLevel="1">
      <c r="B46" s="5" t="s">
        <v>332</v>
      </c>
      <c r="C46" s="5" t="str">
        <f t="shared" si="0"/>
        <v>Slab desk 1600 x 3000 birch</v>
      </c>
      <c r="D46" s="42">
        <f>2900</f>
        <v>2900</v>
      </c>
      <c r="E46" s="5" t="s">
        <v>335</v>
      </c>
      <c r="F46" s="5" t="str">
        <f>IF($E46="","","Slab dsk 1600x3000 beam birch")</f>
        <v>Slab dsk 1600x3000 beam birch</v>
      </c>
      <c r="G46" s="42">
        <f>IF($E46="","",350)</f>
        <v>350</v>
      </c>
      <c r="H46" s="7">
        <v>1</v>
      </c>
      <c r="I46" s="5">
        <v>0.13</v>
      </c>
      <c r="J46" s="5">
        <v>0.12</v>
      </c>
      <c r="K46" s="5">
        <v>1.89</v>
      </c>
      <c r="L46" s="5">
        <v>14</v>
      </c>
      <c r="M46" s="5" t="s">
        <v>6301</v>
      </c>
      <c r="N46" s="5" t="s">
        <v>6299</v>
      </c>
      <c r="O46" s="5" t="s">
        <v>1039</v>
      </c>
    </row>
    <row r="47" spans="2:15" hidden="1" outlineLevel="1">
      <c r="B47" s="5" t="s">
        <v>332</v>
      </c>
      <c r="C47" s="5" t="str">
        <f t="shared" si="0"/>
        <v>Slab desk 1600 x 3000 birch</v>
      </c>
      <c r="D47" s="42">
        <f>2900</f>
        <v>2900</v>
      </c>
      <c r="E47" s="5" t="s">
        <v>334</v>
      </c>
      <c r="F47" s="5" t="str">
        <f>IF($E47="","","Slab dsk 1600x3000 legs1 birch")</f>
        <v>Slab dsk 1600x3000 legs1 birch</v>
      </c>
      <c r="G47" s="42">
        <f>IF($E47="","",350)</f>
        <v>350</v>
      </c>
      <c r="H47" s="7">
        <v>1</v>
      </c>
      <c r="I47" s="5">
        <v>0.18</v>
      </c>
      <c r="J47" s="5">
        <v>0.42</v>
      </c>
      <c r="K47" s="5">
        <v>0.78</v>
      </c>
      <c r="L47" s="5">
        <v>9</v>
      </c>
      <c r="M47" s="5" t="s">
        <v>6301</v>
      </c>
      <c r="N47" s="5" t="s">
        <v>6299</v>
      </c>
      <c r="O47" s="5" t="s">
        <v>1039</v>
      </c>
    </row>
    <row r="48" spans="2:15" hidden="1" outlineLevel="1">
      <c r="B48" s="5" t="s">
        <v>332</v>
      </c>
      <c r="C48" s="5" t="str">
        <f t="shared" si="0"/>
        <v>Slab desk 1600 x 3000 birch</v>
      </c>
      <c r="D48" s="42">
        <f>2900</f>
        <v>2900</v>
      </c>
      <c r="E48" s="5" t="s">
        <v>333</v>
      </c>
      <c r="F48" s="5" t="str">
        <f>IF($E48="","","Slab dsk 1600x3000 legs2 birch")</f>
        <v>Slab dsk 1600x3000 legs2 birch</v>
      </c>
      <c r="G48" s="42">
        <f>IF($E48="","",200)</f>
        <v>200</v>
      </c>
      <c r="H48" s="7">
        <v>1</v>
      </c>
      <c r="I48" s="5">
        <v>0.1</v>
      </c>
      <c r="J48" s="5">
        <v>0.35</v>
      </c>
      <c r="K48" s="5">
        <v>0.78</v>
      </c>
      <c r="L48" s="5">
        <v>3.5</v>
      </c>
      <c r="M48" s="5" t="s">
        <v>6301</v>
      </c>
      <c r="N48" s="5" t="s">
        <v>6299</v>
      </c>
      <c r="O48" s="5" t="s">
        <v>1039</v>
      </c>
    </row>
    <row r="49" spans="2:15" collapsed="1">
      <c r="B49" s="5" t="s">
        <v>332</v>
      </c>
      <c r="C49" s="5" t="str">
        <f t="shared" si="0"/>
        <v>Slab desk 1600 x 3000 birch</v>
      </c>
      <c r="D49" s="42">
        <f>2900</f>
        <v>2900</v>
      </c>
      <c r="E49" s="5"/>
      <c r="F49" s="5"/>
      <c r="G49" s="42"/>
      <c r="H49" s="7"/>
      <c r="I49" s="5"/>
      <c r="J49" s="5"/>
      <c r="K49" s="5"/>
      <c r="L49" s="5"/>
      <c r="M49" s="5"/>
      <c r="N49" s="5"/>
      <c r="O49" s="5" t="s">
        <v>1039</v>
      </c>
    </row>
    <row r="50" spans="2:15" hidden="1" outlineLevel="1">
      <c r="B50" s="5" t="s">
        <v>326</v>
      </c>
      <c r="C50" s="5" t="str">
        <f t="shared" ref="C50:C55" si="1">"Slab desk 1600 x 3000 fumed"</f>
        <v>Slab desk 1600 x 3000 fumed</v>
      </c>
      <c r="D50" s="42">
        <f>4100</f>
        <v>4100</v>
      </c>
      <c r="E50" s="5" t="s">
        <v>331</v>
      </c>
      <c r="F50" s="5" t="str">
        <f>IF($E50="","","Slab dsk 1600 x 3000top1 fumed")</f>
        <v>Slab dsk 1600 x 3000top1 fumed</v>
      </c>
      <c r="G50" s="42">
        <f>IF($E50="","",1250)</f>
        <v>1250</v>
      </c>
      <c r="H50" s="7">
        <v>1</v>
      </c>
      <c r="I50" s="5">
        <v>0.09</v>
      </c>
      <c r="J50" s="5">
        <v>0.87</v>
      </c>
      <c r="K50" s="5">
        <v>1.59</v>
      </c>
      <c r="L50" s="5">
        <v>43</v>
      </c>
      <c r="M50" s="5" t="s">
        <v>6301</v>
      </c>
      <c r="N50" s="5" t="s">
        <v>6299</v>
      </c>
      <c r="O50" s="5" t="s">
        <v>1039</v>
      </c>
    </row>
    <row r="51" spans="2:15" hidden="1" outlineLevel="1">
      <c r="B51" s="5" t="s">
        <v>326</v>
      </c>
      <c r="C51" s="5" t="str">
        <f t="shared" si="1"/>
        <v>Slab desk 1600 x 3000 fumed</v>
      </c>
      <c r="D51" s="42">
        <f>4100</f>
        <v>4100</v>
      </c>
      <c r="E51" s="5" t="s">
        <v>330</v>
      </c>
      <c r="F51" s="5" t="str">
        <f>IF($E51="","","Slab dsk 1600 x 3000 top2 fume")</f>
        <v>Slab dsk 1600 x 3000 top2 fume</v>
      </c>
      <c r="G51" s="42">
        <f>IF($E51="","",1250)</f>
        <v>1250</v>
      </c>
      <c r="H51" s="7">
        <v>1</v>
      </c>
      <c r="I51" s="5">
        <v>0.09</v>
      </c>
      <c r="J51" s="5">
        <v>0.87</v>
      </c>
      <c r="K51" s="5">
        <v>1.59</v>
      </c>
      <c r="L51" s="5">
        <v>43</v>
      </c>
      <c r="M51" s="5" t="s">
        <v>6301</v>
      </c>
      <c r="N51" s="5" t="s">
        <v>6299</v>
      </c>
      <c r="O51" s="5" t="s">
        <v>1039</v>
      </c>
    </row>
    <row r="52" spans="2:15" hidden="1" outlineLevel="1">
      <c r="B52" s="5" t="s">
        <v>326</v>
      </c>
      <c r="C52" s="5" t="str">
        <f t="shared" si="1"/>
        <v>Slab desk 1600 x 3000 fumed</v>
      </c>
      <c r="D52" s="42">
        <f>4100</f>
        <v>4100</v>
      </c>
      <c r="E52" s="5" t="s">
        <v>329</v>
      </c>
      <c r="F52" s="5" t="str">
        <f>IF($E52="","","Slab dsk 1600 x 3000 beam fume")</f>
        <v>Slab dsk 1600 x 3000 beam fume</v>
      </c>
      <c r="G52" s="42">
        <f>IF($E52="","",600)</f>
        <v>600</v>
      </c>
      <c r="H52" s="7">
        <v>1</v>
      </c>
      <c r="I52" s="5">
        <v>0.13</v>
      </c>
      <c r="J52" s="5">
        <v>0.12</v>
      </c>
      <c r="K52" s="5">
        <v>1.89</v>
      </c>
      <c r="L52" s="5">
        <v>15</v>
      </c>
      <c r="M52" s="5" t="s">
        <v>6301</v>
      </c>
      <c r="N52" s="5" t="s">
        <v>6299</v>
      </c>
      <c r="O52" s="5" t="s">
        <v>1039</v>
      </c>
    </row>
    <row r="53" spans="2:15" hidden="1" outlineLevel="1">
      <c r="B53" s="5" t="s">
        <v>326</v>
      </c>
      <c r="C53" s="5" t="str">
        <f t="shared" si="1"/>
        <v>Slab desk 1600 x 3000 fumed</v>
      </c>
      <c r="D53" s="42">
        <f>4100</f>
        <v>4100</v>
      </c>
      <c r="E53" s="5" t="s">
        <v>328</v>
      </c>
      <c r="F53" s="5" t="str">
        <f>IF($E53="","","Slab dsk 1600 x 3000 legs1 fu")</f>
        <v>Slab dsk 1600 x 3000 legs1 fu</v>
      </c>
      <c r="G53" s="42">
        <f>IF($E53="","",500)</f>
        <v>500</v>
      </c>
      <c r="H53" s="7">
        <v>1</v>
      </c>
      <c r="I53" s="5">
        <v>0.18</v>
      </c>
      <c r="J53" s="5">
        <v>0.42</v>
      </c>
      <c r="K53" s="5">
        <v>0.78</v>
      </c>
      <c r="L53" s="5">
        <v>10</v>
      </c>
      <c r="M53" s="5" t="s">
        <v>6301</v>
      </c>
      <c r="N53" s="5" t="s">
        <v>6299</v>
      </c>
      <c r="O53" s="5" t="s">
        <v>1039</v>
      </c>
    </row>
    <row r="54" spans="2:15" hidden="1" outlineLevel="1">
      <c r="B54" s="5" t="s">
        <v>326</v>
      </c>
      <c r="C54" s="5" t="str">
        <f t="shared" si="1"/>
        <v>Slab desk 1600 x 3000 fumed</v>
      </c>
      <c r="D54" s="42">
        <f>4100</f>
        <v>4100</v>
      </c>
      <c r="E54" s="5" t="s">
        <v>327</v>
      </c>
      <c r="F54" s="5" t="str">
        <f>IF($E54="","","Slab dsk 1600 x 3000 legs2 fu")</f>
        <v>Slab dsk 1600 x 3000 legs2 fu</v>
      </c>
      <c r="G54" s="42">
        <f>IF($E54="","",500)</f>
        <v>500</v>
      </c>
      <c r="H54" s="7">
        <v>1</v>
      </c>
      <c r="I54" s="5">
        <v>0.1</v>
      </c>
      <c r="J54" s="5">
        <v>0.35</v>
      </c>
      <c r="K54" s="5">
        <v>0.78</v>
      </c>
      <c r="L54" s="5">
        <v>4</v>
      </c>
      <c r="M54" s="5" t="s">
        <v>6301</v>
      </c>
      <c r="N54" s="5" t="s">
        <v>6299</v>
      </c>
      <c r="O54" s="5" t="s">
        <v>1039</v>
      </c>
    </row>
    <row r="55" spans="2:15" collapsed="1">
      <c r="B55" s="5" t="s">
        <v>326</v>
      </c>
      <c r="C55" s="5" t="str">
        <f t="shared" si="1"/>
        <v>Slab desk 1600 x 3000 fumed</v>
      </c>
      <c r="D55" s="42">
        <f>4100</f>
        <v>4100</v>
      </c>
      <c r="E55" s="5"/>
      <c r="F55" s="5"/>
      <c r="G55" s="42"/>
      <c r="H55" s="7"/>
      <c r="I55" s="5"/>
      <c r="J55" s="5"/>
      <c r="K55" s="5"/>
      <c r="L55" s="5"/>
      <c r="M55" s="5"/>
      <c r="N55" s="5"/>
      <c r="O55" s="5" t="s">
        <v>1039</v>
      </c>
    </row>
    <row r="56" spans="2:15" hidden="1" outlineLevel="1">
      <c r="B56" s="5" t="s">
        <v>320</v>
      </c>
      <c r="C56" s="5" t="str">
        <f t="shared" ref="C56:C61" si="2">"Slab desk 1600x 3200 birch"</f>
        <v>Slab desk 1600x 3200 birch</v>
      </c>
      <c r="D56" s="42">
        <f>3300</f>
        <v>3300</v>
      </c>
      <c r="E56" s="5" t="s">
        <v>325</v>
      </c>
      <c r="F56" s="5" t="str">
        <f>IF($E56="","","Slab dsk 1600x3200 top1 birch")</f>
        <v>Slab dsk 1600x3200 top1 birch</v>
      </c>
      <c r="G56" s="42">
        <f>IF($E56="","",1300)</f>
        <v>1300</v>
      </c>
      <c r="H56" s="7">
        <v>1</v>
      </c>
      <c r="I56" s="5">
        <v>0.11</v>
      </c>
      <c r="J56" s="5">
        <v>0.87</v>
      </c>
      <c r="K56" s="5">
        <v>1.24</v>
      </c>
      <c r="L56" s="5">
        <v>44</v>
      </c>
      <c r="M56" s="5" t="s">
        <v>6301</v>
      </c>
      <c r="N56" s="5" t="s">
        <v>6299</v>
      </c>
      <c r="O56" s="5" t="s">
        <v>1039</v>
      </c>
    </row>
    <row r="57" spans="2:15" hidden="1" outlineLevel="1">
      <c r="B57" s="5" t="s">
        <v>320</v>
      </c>
      <c r="C57" s="5" t="str">
        <f t="shared" si="2"/>
        <v>Slab desk 1600x 3200 birch</v>
      </c>
      <c r="D57" s="42">
        <f>3300</f>
        <v>3300</v>
      </c>
      <c r="E57" s="5" t="s">
        <v>324</v>
      </c>
      <c r="F57" s="5" t="str">
        <f>IF($E57="","","Slab dsk 1600x3200 top2 birch")</f>
        <v>Slab dsk 1600x3200 top2 birch</v>
      </c>
      <c r="G57" s="42">
        <f>IF($E57="","",1300)</f>
        <v>1300</v>
      </c>
      <c r="H57" s="7">
        <v>1</v>
      </c>
      <c r="I57" s="5">
        <v>0.11</v>
      </c>
      <c r="J57" s="5">
        <v>0.87</v>
      </c>
      <c r="K57" s="5">
        <v>1.24</v>
      </c>
      <c r="L57" s="5">
        <v>44</v>
      </c>
      <c r="M57" s="5" t="s">
        <v>6301</v>
      </c>
      <c r="N57" s="5" t="s">
        <v>6299</v>
      </c>
      <c r="O57" s="5" t="s">
        <v>1039</v>
      </c>
    </row>
    <row r="58" spans="2:15" hidden="1" outlineLevel="1">
      <c r="B58" s="5" t="s">
        <v>320</v>
      </c>
      <c r="C58" s="5" t="str">
        <f t="shared" si="2"/>
        <v>Slab desk 1600x 3200 birch</v>
      </c>
      <c r="D58" s="42">
        <f>3300</f>
        <v>3300</v>
      </c>
      <c r="E58" s="5" t="s">
        <v>323</v>
      </c>
      <c r="F58" s="5" t="str">
        <f>IF($E58="","","Slab dsk 1600x3200 beam birch")</f>
        <v>Slab dsk 1600x3200 beam birch</v>
      </c>
      <c r="G58" s="42">
        <f>IF($E58="","",200)</f>
        <v>200</v>
      </c>
      <c r="H58" s="7">
        <v>1</v>
      </c>
      <c r="I58" s="5">
        <v>0.13</v>
      </c>
      <c r="J58" s="5">
        <v>0.16</v>
      </c>
      <c r="K58" s="5">
        <v>2.69</v>
      </c>
      <c r="L58" s="5">
        <v>19</v>
      </c>
      <c r="M58" s="5" t="s">
        <v>6301</v>
      </c>
      <c r="N58" s="5" t="s">
        <v>6299</v>
      </c>
      <c r="O58" s="5" t="s">
        <v>1039</v>
      </c>
    </row>
    <row r="59" spans="2:15" hidden="1" outlineLevel="1">
      <c r="B59" s="5" t="s">
        <v>320</v>
      </c>
      <c r="C59" s="5" t="str">
        <f t="shared" si="2"/>
        <v>Slab desk 1600x 3200 birch</v>
      </c>
      <c r="D59" s="42">
        <f>3300</f>
        <v>3300</v>
      </c>
      <c r="E59" s="5" t="s">
        <v>322</v>
      </c>
      <c r="F59" s="5" t="str">
        <f>IF($E59="","","Slab dsk 1600x3200 legs1 birch")</f>
        <v>Slab dsk 1600x3200 legs1 birch</v>
      </c>
      <c r="G59" s="42">
        <f>IF($E59="","",300)</f>
        <v>300</v>
      </c>
      <c r="H59" s="7">
        <v>1</v>
      </c>
      <c r="I59" s="5">
        <v>0.18</v>
      </c>
      <c r="J59" s="5">
        <v>0.42</v>
      </c>
      <c r="K59" s="5">
        <v>0.78</v>
      </c>
      <c r="L59" s="5">
        <v>9</v>
      </c>
      <c r="M59" s="5" t="s">
        <v>6301</v>
      </c>
      <c r="N59" s="5" t="s">
        <v>6299</v>
      </c>
      <c r="O59" s="5" t="s">
        <v>1039</v>
      </c>
    </row>
    <row r="60" spans="2:15" hidden="1" outlineLevel="1">
      <c r="B60" s="5" t="s">
        <v>320</v>
      </c>
      <c r="C60" s="5" t="str">
        <f t="shared" si="2"/>
        <v>Slab desk 1600x 3200 birch</v>
      </c>
      <c r="D60" s="42">
        <f>3300</f>
        <v>3300</v>
      </c>
      <c r="E60" s="5" t="s">
        <v>321</v>
      </c>
      <c r="F60" s="5" t="str">
        <f>IF($E60="","","Slab dsk 1600x 3200 legs2 bir")</f>
        <v>Slab dsk 1600x 3200 legs2 bir</v>
      </c>
      <c r="G60" s="42">
        <f>IF($E60="","",200)</f>
        <v>200</v>
      </c>
      <c r="H60" s="7">
        <v>1</v>
      </c>
      <c r="I60" s="5">
        <v>0.18</v>
      </c>
      <c r="J60" s="5">
        <v>0.35</v>
      </c>
      <c r="K60" s="5">
        <v>0.78</v>
      </c>
      <c r="L60" s="5">
        <v>7.5</v>
      </c>
      <c r="M60" s="5" t="s">
        <v>6301</v>
      </c>
      <c r="N60" s="5" t="s">
        <v>6299</v>
      </c>
      <c r="O60" s="5" t="s">
        <v>1039</v>
      </c>
    </row>
    <row r="61" spans="2:15" collapsed="1">
      <c r="B61" s="5" t="s">
        <v>320</v>
      </c>
      <c r="C61" s="5" t="str">
        <f t="shared" si="2"/>
        <v>Slab desk 1600x 3200 birch</v>
      </c>
      <c r="D61" s="42">
        <f>3300</f>
        <v>3300</v>
      </c>
      <c r="E61" s="5"/>
      <c r="F61" s="5"/>
      <c r="G61" s="42"/>
      <c r="H61" s="7"/>
      <c r="I61" s="5"/>
      <c r="J61" s="5"/>
      <c r="K61" s="5"/>
      <c r="L61" s="5"/>
      <c r="M61" s="5"/>
      <c r="N61" s="5"/>
      <c r="O61" s="5" t="s">
        <v>1039</v>
      </c>
    </row>
    <row r="62" spans="2:15" hidden="1" outlineLevel="1">
      <c r="B62" s="5" t="s">
        <v>314</v>
      </c>
      <c r="C62" s="5" t="str">
        <f t="shared" ref="C62:C67" si="3">"Slab desk 1600x 3200 fumed"</f>
        <v>Slab desk 1600x 3200 fumed</v>
      </c>
      <c r="D62" s="42">
        <f>4600</f>
        <v>4600</v>
      </c>
      <c r="E62" s="5" t="s">
        <v>319</v>
      </c>
      <c r="F62" s="5" t="str">
        <f>IF($E62="","","Slab dsk 1600x 3200top1fumed")</f>
        <v>Slab dsk 1600x 3200top1fumed</v>
      </c>
      <c r="G62" s="42">
        <f>IF($E62="","",1500)</f>
        <v>1500</v>
      </c>
      <c r="H62" s="7">
        <v>1</v>
      </c>
      <c r="I62" s="5">
        <v>0.11</v>
      </c>
      <c r="J62" s="5">
        <v>0.87</v>
      </c>
      <c r="K62" s="5">
        <v>1.24</v>
      </c>
      <c r="L62" s="5">
        <v>46</v>
      </c>
      <c r="M62" s="5" t="s">
        <v>6301</v>
      </c>
      <c r="N62" s="5" t="s">
        <v>6299</v>
      </c>
      <c r="O62" s="5" t="s">
        <v>1039</v>
      </c>
    </row>
    <row r="63" spans="2:15" hidden="1" outlineLevel="1">
      <c r="B63" s="5" t="s">
        <v>314</v>
      </c>
      <c r="C63" s="5" t="str">
        <f t="shared" si="3"/>
        <v>Slab desk 1600x 3200 fumed</v>
      </c>
      <c r="D63" s="42">
        <f>4600</f>
        <v>4600</v>
      </c>
      <c r="E63" s="5" t="s">
        <v>318</v>
      </c>
      <c r="F63" s="5" t="str">
        <f>IF($E63="","","Slab dsk 1600x 3200top2fumed")</f>
        <v>Slab dsk 1600x 3200top2fumed</v>
      </c>
      <c r="G63" s="42">
        <f>IF($E63="","",1500)</f>
        <v>1500</v>
      </c>
      <c r="H63" s="7">
        <v>1</v>
      </c>
      <c r="I63" s="5">
        <v>0.11</v>
      </c>
      <c r="J63" s="5">
        <v>0.87</v>
      </c>
      <c r="K63" s="5">
        <v>1.24</v>
      </c>
      <c r="L63" s="5">
        <v>46</v>
      </c>
      <c r="M63" s="5" t="s">
        <v>6301</v>
      </c>
      <c r="N63" s="5" t="s">
        <v>6299</v>
      </c>
      <c r="O63" s="5" t="s">
        <v>1039</v>
      </c>
    </row>
    <row r="64" spans="2:15" hidden="1" outlineLevel="1">
      <c r="B64" s="5" t="s">
        <v>314</v>
      </c>
      <c r="C64" s="5" t="str">
        <f t="shared" si="3"/>
        <v>Slab desk 1600x 3200 fumed</v>
      </c>
      <c r="D64" s="42">
        <f>4600</f>
        <v>4600</v>
      </c>
      <c r="E64" s="5" t="s">
        <v>317</v>
      </c>
      <c r="F64" s="5" t="str">
        <f>IF($E64="","","Slab dsk 1600x 3200 beam fumed")</f>
        <v>Slab dsk 1600x 3200 beam fumed</v>
      </c>
      <c r="G64" s="42">
        <f>IF($E64="","",600)</f>
        <v>600</v>
      </c>
      <c r="H64" s="7">
        <v>1</v>
      </c>
      <c r="I64" s="5">
        <v>0.13</v>
      </c>
      <c r="J64" s="5">
        <v>0.16</v>
      </c>
      <c r="K64" s="5">
        <v>2.69</v>
      </c>
      <c r="L64" s="5">
        <v>20</v>
      </c>
      <c r="M64" s="5" t="s">
        <v>6301</v>
      </c>
      <c r="N64" s="5" t="s">
        <v>6299</v>
      </c>
      <c r="O64" s="5" t="s">
        <v>1039</v>
      </c>
    </row>
    <row r="65" spans="2:15" hidden="1" outlineLevel="1">
      <c r="B65" s="5" t="s">
        <v>314</v>
      </c>
      <c r="C65" s="5" t="str">
        <f t="shared" si="3"/>
        <v>Slab desk 1600x 3200 fumed</v>
      </c>
      <c r="D65" s="42">
        <f>4600</f>
        <v>4600</v>
      </c>
      <c r="E65" s="5" t="s">
        <v>316</v>
      </c>
      <c r="F65" s="5" t="str">
        <f>IF($E65="","","Slab dsk 1600x 3200legs1 fumed")</f>
        <v>Slab dsk 1600x 3200legs1 fumed</v>
      </c>
      <c r="G65" s="42">
        <f>IF($E65="","",500)</f>
        <v>500</v>
      </c>
      <c r="H65" s="7">
        <v>1</v>
      </c>
      <c r="I65" s="5">
        <v>0.18</v>
      </c>
      <c r="J65" s="5">
        <v>0.42</v>
      </c>
      <c r="K65" s="5">
        <v>0.78</v>
      </c>
      <c r="L65" s="5">
        <v>10</v>
      </c>
      <c r="M65" s="5" t="s">
        <v>6301</v>
      </c>
      <c r="N65" s="5" t="s">
        <v>6299</v>
      </c>
      <c r="O65" s="5" t="s">
        <v>1039</v>
      </c>
    </row>
    <row r="66" spans="2:15" hidden="1" outlineLevel="1">
      <c r="B66" s="5" t="s">
        <v>314</v>
      </c>
      <c r="C66" s="5" t="str">
        <f t="shared" si="3"/>
        <v>Slab desk 1600x 3200 fumed</v>
      </c>
      <c r="D66" s="42">
        <f>4600</f>
        <v>4600</v>
      </c>
      <c r="E66" s="5" t="s">
        <v>315</v>
      </c>
      <c r="F66" s="5" t="str">
        <f>IF($E66="","","Slab dsk 1600x 3200legs2 fumed")</f>
        <v>Slab dsk 1600x 3200legs2 fumed</v>
      </c>
      <c r="G66" s="42">
        <f>IF($E66="","",500)</f>
        <v>500</v>
      </c>
      <c r="H66" s="7">
        <v>1</v>
      </c>
      <c r="I66" s="5">
        <v>0.18</v>
      </c>
      <c r="J66" s="5">
        <v>0.35</v>
      </c>
      <c r="K66" s="5">
        <v>0.78</v>
      </c>
      <c r="L66" s="5">
        <v>8</v>
      </c>
      <c r="M66" s="5" t="s">
        <v>6301</v>
      </c>
      <c r="N66" s="5" t="s">
        <v>6299</v>
      </c>
      <c r="O66" s="5" t="s">
        <v>1039</v>
      </c>
    </row>
    <row r="67" spans="2:15" collapsed="1">
      <c r="B67" s="5" t="s">
        <v>314</v>
      </c>
      <c r="C67" s="5" t="str">
        <f t="shared" si="3"/>
        <v>Slab desk 1600x 3200 fumed</v>
      </c>
      <c r="D67" s="42">
        <f>4600</f>
        <v>4600</v>
      </c>
      <c r="E67" s="5"/>
      <c r="F67" s="5"/>
      <c r="G67" s="42"/>
      <c r="H67" s="7"/>
      <c r="I67" s="5"/>
      <c r="J67" s="5"/>
      <c r="K67" s="5"/>
      <c r="L67" s="5"/>
      <c r="M67" s="5"/>
      <c r="N67" s="5"/>
      <c r="O67" s="5" t="s">
        <v>1039</v>
      </c>
    </row>
    <row r="68" spans="2:15" hidden="1" outlineLevel="1">
      <c r="B68" s="5" t="s">
        <v>308</v>
      </c>
      <c r="C68" s="5" t="str">
        <f t="shared" ref="C68:C73" si="4">"Slab desk 1600x 3200 nat oak"</f>
        <v>Slab desk 1600x 3200 nat oak</v>
      </c>
      <c r="D68" s="42">
        <f>3600</f>
        <v>3600</v>
      </c>
      <c r="E68" s="5" t="s">
        <v>313</v>
      </c>
      <c r="F68" s="5" t="str">
        <f>IF($E68="","","Slab dsk 1600x3200 top1 natoak")</f>
        <v>Slab dsk 1600x3200 top1 natoak</v>
      </c>
      <c r="G68" s="42">
        <f>IF($E68="","",900)</f>
        <v>900</v>
      </c>
      <c r="H68" s="7">
        <v>1</v>
      </c>
      <c r="I68" s="5">
        <v>0.11</v>
      </c>
      <c r="J68" s="5">
        <v>0.87</v>
      </c>
      <c r="K68" s="5">
        <v>1.24</v>
      </c>
      <c r="L68" s="5">
        <v>46</v>
      </c>
      <c r="M68" s="5" t="s">
        <v>6301</v>
      </c>
      <c r="N68" s="5" t="s">
        <v>6299</v>
      </c>
      <c r="O68" s="5" t="s">
        <v>1039</v>
      </c>
    </row>
    <row r="69" spans="2:15" hidden="1" outlineLevel="1">
      <c r="B69" s="5" t="s">
        <v>308</v>
      </c>
      <c r="C69" s="5" t="str">
        <f t="shared" si="4"/>
        <v>Slab desk 1600x 3200 nat oak</v>
      </c>
      <c r="D69" s="42">
        <f>3600</f>
        <v>3600</v>
      </c>
      <c r="E69" s="5" t="s">
        <v>312</v>
      </c>
      <c r="F69" s="5" t="str">
        <f>IF($E69="","","Slab dsk 1600x3200 top2 natoak")</f>
        <v>Slab dsk 1600x3200 top2 natoak</v>
      </c>
      <c r="G69" s="42">
        <f>IF($E69="","",500)</f>
        <v>500</v>
      </c>
      <c r="H69" s="7">
        <v>1</v>
      </c>
      <c r="I69" s="5">
        <v>0.11</v>
      </c>
      <c r="J69" s="5">
        <v>0.87</v>
      </c>
      <c r="K69" s="5">
        <v>1.24</v>
      </c>
      <c r="L69" s="5">
        <v>46</v>
      </c>
      <c r="M69" s="5" t="s">
        <v>6301</v>
      </c>
      <c r="N69" s="5" t="s">
        <v>6299</v>
      </c>
      <c r="O69" s="5" t="s">
        <v>1039</v>
      </c>
    </row>
    <row r="70" spans="2:15" hidden="1" outlineLevel="1">
      <c r="B70" s="5" t="s">
        <v>308</v>
      </c>
      <c r="C70" s="5" t="str">
        <f t="shared" si="4"/>
        <v>Slab desk 1600x 3200 nat oak</v>
      </c>
      <c r="D70" s="42">
        <f>3600</f>
        <v>3600</v>
      </c>
      <c r="E70" s="5" t="s">
        <v>311</v>
      </c>
      <c r="F70" s="5" t="str">
        <f>IF($E70="","","Slab dsk 1600x3200 beam natoak")</f>
        <v>Slab dsk 1600x3200 beam natoak</v>
      </c>
      <c r="G70" s="42">
        <f>IF($E70="","",900)</f>
        <v>900</v>
      </c>
      <c r="H70" s="7">
        <v>1</v>
      </c>
      <c r="I70" s="5">
        <v>0.13</v>
      </c>
      <c r="J70" s="5">
        <v>0.16</v>
      </c>
      <c r="K70" s="5">
        <v>2.69</v>
      </c>
      <c r="L70" s="5">
        <v>20</v>
      </c>
      <c r="M70" s="5" t="s">
        <v>6301</v>
      </c>
      <c r="N70" s="5" t="s">
        <v>6299</v>
      </c>
      <c r="O70" s="5" t="s">
        <v>1039</v>
      </c>
    </row>
    <row r="71" spans="2:15" hidden="1" outlineLevel="1">
      <c r="B71" s="5" t="s">
        <v>308</v>
      </c>
      <c r="C71" s="5" t="str">
        <f t="shared" si="4"/>
        <v>Slab desk 1600x 3200 nat oak</v>
      </c>
      <c r="D71" s="42">
        <f>3600</f>
        <v>3600</v>
      </c>
      <c r="E71" s="5" t="s">
        <v>310</v>
      </c>
      <c r="F71" s="5" t="str">
        <f>IF($E71="","","Slab dsk 1600x3200 legs1natoak")</f>
        <v>Slab dsk 1600x3200 legs1natoak</v>
      </c>
      <c r="G71" s="42">
        <f>IF($E71="","",650)</f>
        <v>650</v>
      </c>
      <c r="H71" s="7">
        <v>1</v>
      </c>
      <c r="I71" s="5">
        <v>0.18</v>
      </c>
      <c r="J71" s="5">
        <v>0.42</v>
      </c>
      <c r="K71" s="5">
        <v>0.78</v>
      </c>
      <c r="L71" s="5">
        <v>10</v>
      </c>
      <c r="M71" s="5" t="s">
        <v>6301</v>
      </c>
      <c r="N71" s="5" t="s">
        <v>6299</v>
      </c>
      <c r="O71" s="5" t="s">
        <v>1039</v>
      </c>
    </row>
    <row r="72" spans="2:15" hidden="1" outlineLevel="1">
      <c r="B72" s="5" t="s">
        <v>308</v>
      </c>
      <c r="C72" s="5" t="str">
        <f t="shared" si="4"/>
        <v>Slab desk 1600x 3200 nat oak</v>
      </c>
      <c r="D72" s="42">
        <f>3600</f>
        <v>3600</v>
      </c>
      <c r="E72" s="5" t="s">
        <v>309</v>
      </c>
      <c r="F72" s="5" t="str">
        <f>IF($E72="","","Slab dsk 1600x3200 legs2natoak")</f>
        <v>Slab dsk 1600x3200 legs2natoak</v>
      </c>
      <c r="G72" s="42">
        <f>IF($E72="","",650)</f>
        <v>650</v>
      </c>
      <c r="H72" s="7">
        <v>1</v>
      </c>
      <c r="I72" s="5">
        <v>0.18</v>
      </c>
      <c r="J72" s="5">
        <v>0.35</v>
      </c>
      <c r="K72" s="5">
        <v>0.78</v>
      </c>
      <c r="L72" s="5">
        <v>8</v>
      </c>
      <c r="M72" s="5" t="s">
        <v>6301</v>
      </c>
      <c r="N72" s="5" t="s">
        <v>6299</v>
      </c>
      <c r="O72" s="5" t="s">
        <v>1039</v>
      </c>
    </row>
    <row r="73" spans="2:15" collapsed="1">
      <c r="B73" s="5" t="s">
        <v>308</v>
      </c>
      <c r="C73" s="5" t="str">
        <f t="shared" si="4"/>
        <v>Slab desk 1600x 3200 nat oak</v>
      </c>
      <c r="D73" s="42">
        <f>3600</f>
        <v>3600</v>
      </c>
      <c r="E73" s="5"/>
      <c r="F73" s="5"/>
      <c r="G73" s="42"/>
      <c r="H73" s="7"/>
      <c r="I73" s="5"/>
      <c r="J73" s="5"/>
      <c r="K73" s="5"/>
      <c r="L73" s="5"/>
      <c r="M73" s="5"/>
      <c r="N73" s="5"/>
      <c r="O73" s="5" t="s">
        <v>1039</v>
      </c>
    </row>
    <row r="74" spans="2:15" hidden="1" outlineLevel="1">
      <c r="B74" s="5" t="s">
        <v>303</v>
      </c>
      <c r="C74" s="5" t="str">
        <f>"Slab desk 1600x2400 fumed"</f>
        <v>Slab desk 1600x2400 fumed</v>
      </c>
      <c r="D74" s="42">
        <f>3300</f>
        <v>3300</v>
      </c>
      <c r="E74" s="5" t="s">
        <v>307</v>
      </c>
      <c r="F74" s="5" t="str">
        <f>IF($E74="","","Slab dsk 1600x2400 top1 fumed")</f>
        <v>Slab dsk 1600x2400 top1 fumed</v>
      </c>
      <c r="G74" s="42">
        <f>IF($E74="","",1100)</f>
        <v>1100</v>
      </c>
      <c r="H74" s="7">
        <v>1</v>
      </c>
      <c r="I74" s="5">
        <v>0.05</v>
      </c>
      <c r="J74" s="5">
        <v>0.87</v>
      </c>
      <c r="K74" s="5">
        <v>2.4900000000000002</v>
      </c>
      <c r="L74" s="5">
        <v>35</v>
      </c>
      <c r="M74" s="5" t="s">
        <v>6301</v>
      </c>
      <c r="N74" s="5" t="s">
        <v>6299</v>
      </c>
      <c r="O74" s="5" t="s">
        <v>1039</v>
      </c>
    </row>
    <row r="75" spans="2:15" hidden="1" outlineLevel="1">
      <c r="B75" s="5" t="s">
        <v>303</v>
      </c>
      <c r="C75" s="5" t="str">
        <f>"Slab desk 1600x2400 fumed"</f>
        <v>Slab desk 1600x2400 fumed</v>
      </c>
      <c r="D75" s="42">
        <f>3300</f>
        <v>3300</v>
      </c>
      <c r="E75" s="5" t="s">
        <v>306</v>
      </c>
      <c r="F75" s="5" t="str">
        <f>IF($E75="","","Slab dsk 1600x2400 top2 fumed")</f>
        <v>Slab dsk 1600x2400 top2 fumed</v>
      </c>
      <c r="G75" s="42">
        <f>IF($E75="","",1100)</f>
        <v>1100</v>
      </c>
      <c r="H75" s="7">
        <v>1</v>
      </c>
      <c r="I75" s="5">
        <v>0.05</v>
      </c>
      <c r="J75" s="5">
        <v>0.87</v>
      </c>
      <c r="K75" s="5">
        <v>2.4900000000000002</v>
      </c>
      <c r="L75" s="5">
        <v>35</v>
      </c>
      <c r="M75" s="5" t="s">
        <v>6301</v>
      </c>
      <c r="N75" s="5" t="s">
        <v>6299</v>
      </c>
      <c r="O75" s="5" t="s">
        <v>1039</v>
      </c>
    </row>
    <row r="76" spans="2:15" hidden="1" outlineLevel="1">
      <c r="B76" s="5" t="s">
        <v>303</v>
      </c>
      <c r="C76" s="5" t="str">
        <f>"Slab desk 1600x2400 fumed"</f>
        <v>Slab desk 1600x2400 fumed</v>
      </c>
      <c r="D76" s="42">
        <f>3300</f>
        <v>3300</v>
      </c>
      <c r="E76" s="5" t="s">
        <v>305</v>
      </c>
      <c r="F76" s="5" t="str">
        <f>IF($E76="","","Slab dsk 1600x2400 beam fumed")</f>
        <v>Slab dsk 1600x2400 beam fumed</v>
      </c>
      <c r="G76" s="42">
        <f>IF($E76="","",600)</f>
        <v>600</v>
      </c>
      <c r="H76" s="7">
        <v>1</v>
      </c>
      <c r="I76" s="5">
        <v>0.13</v>
      </c>
      <c r="J76" s="5">
        <v>0.16</v>
      </c>
      <c r="K76" s="5">
        <v>1.89</v>
      </c>
      <c r="L76" s="5">
        <v>15</v>
      </c>
      <c r="M76" s="5" t="s">
        <v>6301</v>
      </c>
      <c r="N76" s="5" t="s">
        <v>6299</v>
      </c>
      <c r="O76" s="5" t="s">
        <v>1039</v>
      </c>
    </row>
    <row r="77" spans="2:15" hidden="1" outlineLevel="1">
      <c r="B77" s="5" t="s">
        <v>303</v>
      </c>
      <c r="C77" s="5" t="str">
        <f>"Slab desk 1600x2400 fumed"</f>
        <v>Slab desk 1600x2400 fumed</v>
      </c>
      <c r="D77" s="42">
        <f>3300</f>
        <v>3300</v>
      </c>
      <c r="E77" s="5" t="s">
        <v>304</v>
      </c>
      <c r="F77" s="5" t="str">
        <f>IF($E77="","","Slab dsk 1600x2400 legs fumed")</f>
        <v>Slab dsk 1600x2400 legs fumed</v>
      </c>
      <c r="G77" s="42">
        <f>IF($E77="","",500)</f>
        <v>500</v>
      </c>
      <c r="H77" s="7">
        <v>1</v>
      </c>
      <c r="I77" s="5">
        <v>0.18</v>
      </c>
      <c r="J77" s="5">
        <v>0.42</v>
      </c>
      <c r="K77" s="5">
        <v>0.78</v>
      </c>
      <c r="L77" s="5">
        <v>10</v>
      </c>
      <c r="M77" s="5" t="s">
        <v>6301</v>
      </c>
      <c r="N77" s="5" t="s">
        <v>6299</v>
      </c>
      <c r="O77" s="5" t="s">
        <v>1039</v>
      </c>
    </row>
    <row r="78" spans="2:15" collapsed="1">
      <c r="B78" s="5" t="s">
        <v>303</v>
      </c>
      <c r="C78" s="5" t="str">
        <f>"Slab desk 1600x2400 fumed"</f>
        <v>Slab desk 1600x2400 fumed</v>
      </c>
      <c r="D78" s="42">
        <f>3300</f>
        <v>3300</v>
      </c>
      <c r="E78" s="5"/>
      <c r="F78" s="5"/>
      <c r="G78" s="42"/>
      <c r="H78" s="7"/>
      <c r="I78" s="5"/>
      <c r="J78" s="5"/>
      <c r="K78" s="5"/>
      <c r="L78" s="5"/>
      <c r="M78" s="5"/>
      <c r="N78" s="5"/>
      <c r="O78" s="5" t="s">
        <v>1039</v>
      </c>
    </row>
    <row r="79" spans="2:15" hidden="1" outlineLevel="1">
      <c r="B79" s="5" t="s">
        <v>298</v>
      </c>
      <c r="C79" s="5" t="str">
        <f>"Slab dsk 1600x 2400 nat oak"</f>
        <v>Slab dsk 1600x 2400 nat oak</v>
      </c>
      <c r="D79" s="42">
        <f>2550</f>
        <v>2550</v>
      </c>
      <c r="E79" s="5" t="s">
        <v>302</v>
      </c>
      <c r="F79" s="5" t="str">
        <f>IF($E79="","","Slab dsk 1600x2400 top1 natoak")</f>
        <v>Slab dsk 1600x2400 top1 natoak</v>
      </c>
      <c r="G79" s="42">
        <f>IF($E79="","",500)</f>
        <v>500</v>
      </c>
      <c r="H79" s="7">
        <v>1</v>
      </c>
      <c r="I79" s="5">
        <v>0.05</v>
      </c>
      <c r="J79" s="5">
        <v>0.87</v>
      </c>
      <c r="K79" s="5">
        <v>2.4900000000000002</v>
      </c>
      <c r="L79" s="5">
        <v>35</v>
      </c>
      <c r="M79" s="5" t="s">
        <v>6301</v>
      </c>
      <c r="N79" s="5" t="s">
        <v>6299</v>
      </c>
      <c r="O79" s="5" t="s">
        <v>1039</v>
      </c>
    </row>
    <row r="80" spans="2:15" hidden="1" outlineLevel="1">
      <c r="B80" s="5" t="s">
        <v>298</v>
      </c>
      <c r="C80" s="5" t="str">
        <f>"Slab dsk 1600x 2400 nat oak"</f>
        <v>Slab dsk 1600x 2400 nat oak</v>
      </c>
      <c r="D80" s="42">
        <f>2550</f>
        <v>2550</v>
      </c>
      <c r="E80" s="5" t="s">
        <v>301</v>
      </c>
      <c r="F80" s="5" t="str">
        <f>IF($E80="","","Slab dsk 1600x2400 top2 natoak")</f>
        <v>Slab dsk 1600x2400 top2 natoak</v>
      </c>
      <c r="G80" s="42">
        <f>IF($E80="","",500)</f>
        <v>500</v>
      </c>
      <c r="H80" s="7">
        <v>1</v>
      </c>
      <c r="I80" s="5">
        <v>0.05</v>
      </c>
      <c r="J80" s="5">
        <v>0.87</v>
      </c>
      <c r="K80" s="5">
        <v>2.4900000000000002</v>
      </c>
      <c r="L80" s="5">
        <v>35</v>
      </c>
      <c r="M80" s="5" t="s">
        <v>6301</v>
      </c>
      <c r="N80" s="5" t="s">
        <v>6299</v>
      </c>
      <c r="O80" s="5" t="s">
        <v>1039</v>
      </c>
    </row>
    <row r="81" spans="2:15" hidden="1" outlineLevel="1">
      <c r="B81" s="5" t="s">
        <v>298</v>
      </c>
      <c r="C81" s="5" t="str">
        <f>"Slab dsk 1600x 2400 nat oak"</f>
        <v>Slab dsk 1600x 2400 nat oak</v>
      </c>
      <c r="D81" s="42">
        <f>2550</f>
        <v>2550</v>
      </c>
      <c r="E81" s="5" t="s">
        <v>300</v>
      </c>
      <c r="F81" s="5" t="str">
        <f>IF($E81="","","Slab dsk 1600x2400 beam natoak")</f>
        <v>Slab dsk 1600x2400 beam natoak</v>
      </c>
      <c r="G81" s="42">
        <f>IF($E81="","",900)</f>
        <v>900</v>
      </c>
      <c r="H81" s="7">
        <v>1</v>
      </c>
      <c r="I81" s="5">
        <v>0.13</v>
      </c>
      <c r="J81" s="5">
        <v>0.16</v>
      </c>
      <c r="K81" s="5">
        <v>1.89</v>
      </c>
      <c r="L81" s="5">
        <v>15</v>
      </c>
      <c r="M81" s="5" t="s">
        <v>6301</v>
      </c>
      <c r="N81" s="5" t="s">
        <v>6299</v>
      </c>
      <c r="O81" s="5" t="s">
        <v>1039</v>
      </c>
    </row>
    <row r="82" spans="2:15" hidden="1" outlineLevel="1">
      <c r="B82" s="5" t="s">
        <v>298</v>
      </c>
      <c r="C82" s="5" t="str">
        <f>"Slab dsk 1600x 2400 nat oak"</f>
        <v>Slab dsk 1600x 2400 nat oak</v>
      </c>
      <c r="D82" s="42">
        <f>2550</f>
        <v>2550</v>
      </c>
      <c r="E82" s="5" t="s">
        <v>299</v>
      </c>
      <c r="F82" s="5" t="str">
        <f>IF($E82="","","Slab dsk 1600x2400 legs natoak")</f>
        <v>Slab dsk 1600x2400 legs natoak</v>
      </c>
      <c r="G82" s="42">
        <f>IF($E82="","",650)</f>
        <v>650</v>
      </c>
      <c r="H82" s="7">
        <v>1</v>
      </c>
      <c r="I82" s="5">
        <v>0.18</v>
      </c>
      <c r="J82" s="5">
        <v>0.42</v>
      </c>
      <c r="K82" s="5">
        <v>0.78</v>
      </c>
      <c r="L82" s="5">
        <v>10</v>
      </c>
      <c r="M82" s="5" t="s">
        <v>6301</v>
      </c>
      <c r="N82" s="5" t="s">
        <v>6299</v>
      </c>
      <c r="O82" s="5" t="s">
        <v>1039</v>
      </c>
    </row>
    <row r="83" spans="2:15" collapsed="1">
      <c r="B83" s="5" t="s">
        <v>298</v>
      </c>
      <c r="C83" s="5" t="str">
        <f>"Slab dsk 1600x 2400 nat oak"</f>
        <v>Slab dsk 1600x 2400 nat oak</v>
      </c>
      <c r="D83" s="42">
        <f>2550</f>
        <v>2550</v>
      </c>
      <c r="E83" s="5"/>
      <c r="F83" s="5"/>
      <c r="G83" s="42"/>
      <c r="H83" s="7"/>
      <c r="I83" s="5"/>
      <c r="J83" s="5"/>
      <c r="K83" s="5"/>
      <c r="L83" s="5"/>
      <c r="M83" s="5"/>
      <c r="N83" s="5"/>
      <c r="O83" s="5" t="s">
        <v>1039</v>
      </c>
    </row>
    <row r="84" spans="2:15">
      <c r="B84" s="5" t="s">
        <v>297</v>
      </c>
      <c r="C84" s="5" t="str">
        <f>"Slab desk 600 x 1200 birch"</f>
        <v>Slab desk 600 x 1200 birch</v>
      </c>
      <c r="D84" s="42">
        <f>825</f>
        <v>825</v>
      </c>
      <c r="E84" s="5"/>
      <c r="F84" s="5"/>
      <c r="G84" s="42"/>
      <c r="H84" s="7"/>
      <c r="I84" s="5">
        <v>0.11</v>
      </c>
      <c r="J84" s="5">
        <v>1.48</v>
      </c>
      <c r="K84" s="5">
        <v>0.67</v>
      </c>
      <c r="L84" s="5">
        <v>39</v>
      </c>
      <c r="M84" s="5" t="s">
        <v>6301</v>
      </c>
      <c r="N84" s="5" t="s">
        <v>6299</v>
      </c>
      <c r="O84" s="5" t="s">
        <v>6329</v>
      </c>
    </row>
    <row r="85" spans="2:15">
      <c r="B85" s="5" t="s">
        <v>296</v>
      </c>
      <c r="C85" s="5" t="str">
        <f>"Slab desk 600 x 1200 NO"</f>
        <v>Slab desk 600 x 1200 NO</v>
      </c>
      <c r="D85" s="42">
        <f>1000</f>
        <v>1000</v>
      </c>
      <c r="E85" s="5"/>
      <c r="F85" s="5"/>
      <c r="G85" s="42"/>
      <c r="H85" s="7"/>
      <c r="I85" s="5">
        <v>0.09</v>
      </c>
      <c r="J85" s="5">
        <v>1.5</v>
      </c>
      <c r="K85" s="5">
        <v>0.67</v>
      </c>
      <c r="L85" s="5">
        <v>39</v>
      </c>
      <c r="M85" s="5" t="s">
        <v>6301</v>
      </c>
      <c r="N85" s="5" t="s">
        <v>6299</v>
      </c>
      <c r="O85" s="5" t="s">
        <v>6330</v>
      </c>
    </row>
    <row r="86" spans="2:15">
      <c r="B86" s="5" t="s">
        <v>295</v>
      </c>
      <c r="C86" s="5" t="str">
        <f>"Slab desk 600 x 1200 fumed"</f>
        <v>Slab desk 600 x 1200 fumed</v>
      </c>
      <c r="D86" s="42">
        <f>1600</f>
        <v>1600</v>
      </c>
      <c r="E86" s="5"/>
      <c r="F86" s="5"/>
      <c r="G86" s="42"/>
      <c r="H86" s="7"/>
      <c r="I86" s="5">
        <v>0.1</v>
      </c>
      <c r="J86" s="5">
        <v>1</v>
      </c>
      <c r="K86" s="5">
        <v>0.7</v>
      </c>
      <c r="L86" s="5">
        <v>30</v>
      </c>
      <c r="M86" s="5" t="s">
        <v>6301</v>
      </c>
      <c r="N86" s="5" t="s">
        <v>6299</v>
      </c>
      <c r="O86" s="5" t="s">
        <v>6331</v>
      </c>
    </row>
    <row r="87" spans="2:15" hidden="1" outlineLevel="1">
      <c r="B87" s="5" t="s">
        <v>291</v>
      </c>
      <c r="C87" s="5" t="str">
        <f>"Slab desk 800 x 1600 birch"</f>
        <v>Slab desk 800 x 1600 birch</v>
      </c>
      <c r="D87" s="42">
        <f>1100</f>
        <v>1100</v>
      </c>
      <c r="E87" s="5" t="s">
        <v>294</v>
      </c>
      <c r="F87" s="5" t="str">
        <f>IF($E87="","","Slab dsk 800x1600 top birch")</f>
        <v>Slab dsk 800x1600 top birch</v>
      </c>
      <c r="G87" s="42">
        <f>IF($E87="","",700)</f>
        <v>700</v>
      </c>
      <c r="H87" s="7">
        <v>1</v>
      </c>
      <c r="I87" s="5">
        <v>0.05</v>
      </c>
      <c r="J87" s="5">
        <v>0.86</v>
      </c>
      <c r="K87" s="5">
        <v>1.68</v>
      </c>
      <c r="L87" s="5">
        <v>21</v>
      </c>
      <c r="M87" s="5" t="s">
        <v>6301</v>
      </c>
      <c r="N87" s="5" t="s">
        <v>6299</v>
      </c>
      <c r="O87" s="5" t="s">
        <v>1039</v>
      </c>
    </row>
    <row r="88" spans="2:15" hidden="1" outlineLevel="1">
      <c r="B88" s="5" t="s">
        <v>291</v>
      </c>
      <c r="C88" s="5" t="str">
        <f>"Slab desk 800 x 1600 birch"</f>
        <v>Slab desk 800 x 1600 birch</v>
      </c>
      <c r="D88" s="42">
        <f>1100</f>
        <v>1100</v>
      </c>
      <c r="E88" s="5" t="s">
        <v>293</v>
      </c>
      <c r="F88" s="5" t="str">
        <f>IF($E88="","","Slab dsk 800x1600 beam birch")</f>
        <v>Slab dsk 800x1600 beam birch</v>
      </c>
      <c r="G88" s="42">
        <f>IF($E88="","",100)</f>
        <v>100</v>
      </c>
      <c r="H88" s="7">
        <v>1</v>
      </c>
      <c r="I88" s="5">
        <v>0.05</v>
      </c>
      <c r="J88" s="5">
        <v>0.16</v>
      </c>
      <c r="K88" s="5">
        <v>1.1299999999999999</v>
      </c>
      <c r="L88" s="5">
        <v>3</v>
      </c>
      <c r="M88" s="5" t="s">
        <v>6301</v>
      </c>
      <c r="N88" s="5" t="s">
        <v>6299</v>
      </c>
      <c r="O88" s="5" t="s">
        <v>1039</v>
      </c>
    </row>
    <row r="89" spans="2:15" hidden="1" outlineLevel="1">
      <c r="B89" s="5" t="s">
        <v>291</v>
      </c>
      <c r="C89" s="5" t="str">
        <f>"Slab desk 800 x 1600 birch"</f>
        <v>Slab desk 800 x 1600 birch</v>
      </c>
      <c r="D89" s="42">
        <f>1100</f>
        <v>1100</v>
      </c>
      <c r="E89" s="5" t="s">
        <v>292</v>
      </c>
      <c r="F89" s="5" t="str">
        <f>IF($E89="","","Slab dsk 800x1600 legs birch")</f>
        <v>Slab dsk 800x1600 legs birch</v>
      </c>
      <c r="G89" s="42">
        <f>IF($E89="","",300)</f>
        <v>300</v>
      </c>
      <c r="H89" s="7">
        <v>1</v>
      </c>
      <c r="I89" s="5">
        <v>0.18</v>
      </c>
      <c r="J89" s="5">
        <v>0.42</v>
      </c>
      <c r="K89" s="5">
        <v>0.78</v>
      </c>
      <c r="L89" s="5">
        <v>9</v>
      </c>
      <c r="M89" s="5" t="s">
        <v>6301</v>
      </c>
      <c r="N89" s="5" t="s">
        <v>6299</v>
      </c>
      <c r="O89" s="5" t="s">
        <v>1039</v>
      </c>
    </row>
    <row r="90" spans="2:15" collapsed="1">
      <c r="B90" s="5" t="s">
        <v>291</v>
      </c>
      <c r="C90" s="5" t="str">
        <f>"Slab desk 800 x 1600 birch"</f>
        <v>Slab desk 800 x 1600 birch</v>
      </c>
      <c r="D90" s="42">
        <f>1100</f>
        <v>1100</v>
      </c>
      <c r="E90" s="5"/>
      <c r="F90" s="5"/>
      <c r="G90" s="42"/>
      <c r="H90" s="7"/>
      <c r="I90" s="5"/>
      <c r="J90" s="5"/>
      <c r="K90" s="5"/>
      <c r="L90" s="5"/>
      <c r="M90" s="5"/>
      <c r="N90" s="5"/>
      <c r="O90" s="5" t="s">
        <v>1039</v>
      </c>
    </row>
    <row r="91" spans="2:15" hidden="1" outlineLevel="1">
      <c r="B91" s="5" t="s">
        <v>287</v>
      </c>
      <c r="C91" s="5" t="str">
        <f>"Slab desk 800 x 2400 birch"</f>
        <v>Slab desk 800 x 2400 birch</v>
      </c>
      <c r="D91" s="42">
        <f>1600</f>
        <v>1600</v>
      </c>
      <c r="E91" s="5" t="s">
        <v>290</v>
      </c>
      <c r="F91" s="5" t="str">
        <f>IF($E91="","","Slab dsk 800x2400 top birch")</f>
        <v>Slab dsk 800x2400 top birch</v>
      </c>
      <c r="G91" s="42">
        <f>IF($E91="","",1200)</f>
        <v>1200</v>
      </c>
      <c r="H91" s="7">
        <v>1</v>
      </c>
      <c r="I91" s="5">
        <v>0.05</v>
      </c>
      <c r="J91" s="5">
        <v>0.86</v>
      </c>
      <c r="K91" s="5">
        <v>2.48</v>
      </c>
      <c r="L91" s="5">
        <v>33</v>
      </c>
      <c r="M91" s="5" t="s">
        <v>6301</v>
      </c>
      <c r="N91" s="5" t="s">
        <v>6299</v>
      </c>
      <c r="O91" s="5" t="s">
        <v>1039</v>
      </c>
    </row>
    <row r="92" spans="2:15" hidden="1" outlineLevel="1">
      <c r="B92" s="5" t="s">
        <v>287</v>
      </c>
      <c r="C92" s="5" t="str">
        <f>"Slab desk 800 x 2400 birch"</f>
        <v>Slab desk 800 x 2400 birch</v>
      </c>
      <c r="D92" s="42">
        <f>1600</f>
        <v>1600</v>
      </c>
      <c r="E92" s="5" t="s">
        <v>289</v>
      </c>
      <c r="F92" s="5" t="str">
        <f>IF($E92="","","Slab dsk 800x2400 beam birch")</f>
        <v>Slab dsk 800x2400 beam birch</v>
      </c>
      <c r="G92" s="42">
        <f>IF($E92="","",100)</f>
        <v>100</v>
      </c>
      <c r="H92" s="7">
        <v>1</v>
      </c>
      <c r="I92" s="5">
        <v>0.05</v>
      </c>
      <c r="J92" s="5">
        <v>0.16</v>
      </c>
      <c r="K92" s="5">
        <v>1.93</v>
      </c>
      <c r="L92" s="5">
        <v>5.5</v>
      </c>
      <c r="M92" s="5" t="s">
        <v>6301</v>
      </c>
      <c r="N92" s="5" t="s">
        <v>6299</v>
      </c>
      <c r="O92" s="5" t="s">
        <v>1039</v>
      </c>
    </row>
    <row r="93" spans="2:15" hidden="1" outlineLevel="1">
      <c r="B93" s="5" t="s">
        <v>287</v>
      </c>
      <c r="C93" s="5" t="str">
        <f>"Slab desk 800 x 2400 birch"</f>
        <v>Slab desk 800 x 2400 birch</v>
      </c>
      <c r="D93" s="42">
        <f>1600</f>
        <v>1600</v>
      </c>
      <c r="E93" s="5" t="s">
        <v>288</v>
      </c>
      <c r="F93" s="5" t="str">
        <f>IF($E93="","","Slab dsk 800x2400 legs birch")</f>
        <v>Slab dsk 800x2400 legs birch</v>
      </c>
      <c r="G93" s="42">
        <f>IF($E93="","",300)</f>
        <v>300</v>
      </c>
      <c r="H93" s="7">
        <v>1</v>
      </c>
      <c r="I93" s="5">
        <v>0.18</v>
      </c>
      <c r="J93" s="5">
        <v>0.42</v>
      </c>
      <c r="K93" s="5">
        <v>0.78</v>
      </c>
      <c r="L93" s="5">
        <v>9</v>
      </c>
      <c r="M93" s="5" t="s">
        <v>6301</v>
      </c>
      <c r="N93" s="5" t="s">
        <v>6299</v>
      </c>
      <c r="O93" s="5" t="s">
        <v>1039</v>
      </c>
    </row>
    <row r="94" spans="2:15" collapsed="1">
      <c r="B94" s="5" t="s">
        <v>287</v>
      </c>
      <c r="C94" s="5" t="str">
        <f>"Slab desk 800 x 2400 birch"</f>
        <v>Slab desk 800 x 2400 birch</v>
      </c>
      <c r="D94" s="42">
        <f>1600</f>
        <v>1600</v>
      </c>
      <c r="E94" s="5"/>
      <c r="F94" s="5"/>
      <c r="G94" s="42"/>
      <c r="H94" s="7"/>
      <c r="I94" s="5"/>
      <c r="J94" s="5"/>
      <c r="K94" s="5"/>
      <c r="L94" s="5"/>
      <c r="M94" s="5"/>
      <c r="N94" s="5"/>
      <c r="O94" s="5" t="s">
        <v>1039</v>
      </c>
    </row>
    <row r="95" spans="2:15" hidden="1" outlineLevel="1">
      <c r="B95" s="5" t="s">
        <v>283</v>
      </c>
      <c r="C95" s="5" t="str">
        <f>"Slab desk 800 x 2400 fumed"</f>
        <v>Slab desk 800 x 2400 fumed</v>
      </c>
      <c r="D95" s="42">
        <f>2400</f>
        <v>2400</v>
      </c>
      <c r="E95" s="5" t="s">
        <v>286</v>
      </c>
      <c r="F95" s="5" t="str">
        <f>IF($E95="","","Slab dsk 800x2400 top fumed")</f>
        <v>Slab dsk 800x2400 top fumed</v>
      </c>
      <c r="G95" s="42">
        <f>IF($E95="","",1300)</f>
        <v>1300</v>
      </c>
      <c r="H95" s="7">
        <v>1</v>
      </c>
      <c r="I95" s="5">
        <v>0.05</v>
      </c>
      <c r="J95" s="5">
        <v>0.86</v>
      </c>
      <c r="K95" s="5">
        <v>2.48</v>
      </c>
      <c r="L95" s="5">
        <v>35</v>
      </c>
      <c r="M95" s="5" t="s">
        <v>6301</v>
      </c>
      <c r="N95" s="5" t="s">
        <v>6299</v>
      </c>
      <c r="O95" s="5" t="s">
        <v>1039</v>
      </c>
    </row>
    <row r="96" spans="2:15" hidden="1" outlineLevel="1">
      <c r="B96" s="5" t="s">
        <v>283</v>
      </c>
      <c r="C96" s="5" t="str">
        <f>"Slab desk 800 x 2400 fumed"</f>
        <v>Slab desk 800 x 2400 fumed</v>
      </c>
      <c r="D96" s="42">
        <f>2400</f>
        <v>2400</v>
      </c>
      <c r="E96" s="5" t="s">
        <v>285</v>
      </c>
      <c r="F96" s="5" t="str">
        <f>IF($E96="","","Slab dsk 800x2400 beam fumed")</f>
        <v>Slab dsk 800x2400 beam fumed</v>
      </c>
      <c r="G96" s="42">
        <f>IF($E96="","",350)</f>
        <v>350</v>
      </c>
      <c r="H96" s="7">
        <v>1</v>
      </c>
      <c r="I96" s="5">
        <v>0.05</v>
      </c>
      <c r="J96" s="5">
        <v>0.16</v>
      </c>
      <c r="K96" s="5">
        <v>1.93</v>
      </c>
      <c r="L96" s="5">
        <v>6</v>
      </c>
      <c r="M96" s="5" t="s">
        <v>6301</v>
      </c>
      <c r="N96" s="5" t="s">
        <v>6299</v>
      </c>
      <c r="O96" s="5" t="s">
        <v>1039</v>
      </c>
    </row>
    <row r="97" spans="2:15" hidden="1" outlineLevel="1">
      <c r="B97" s="5" t="s">
        <v>283</v>
      </c>
      <c r="C97" s="5" t="str">
        <f>"Slab desk 800 x 2400 fumed"</f>
        <v>Slab desk 800 x 2400 fumed</v>
      </c>
      <c r="D97" s="42">
        <f>2400</f>
        <v>2400</v>
      </c>
      <c r="E97" s="5" t="s">
        <v>284</v>
      </c>
      <c r="F97" s="5" t="str">
        <f>IF($E97="","","Slab dsk 800x2400 legs fumed")</f>
        <v>Slab dsk 800x2400 legs fumed</v>
      </c>
      <c r="G97" s="42">
        <f>IF($E97="","",750)</f>
        <v>750</v>
      </c>
      <c r="H97" s="7">
        <v>1</v>
      </c>
      <c r="I97" s="5">
        <v>0.18</v>
      </c>
      <c r="J97" s="5">
        <v>0.42</v>
      </c>
      <c r="K97" s="5">
        <v>0.78</v>
      </c>
      <c r="L97" s="5">
        <v>10</v>
      </c>
      <c r="M97" s="5" t="s">
        <v>6301</v>
      </c>
      <c r="N97" s="5" t="s">
        <v>6299</v>
      </c>
      <c r="O97" s="5" t="s">
        <v>1039</v>
      </c>
    </row>
    <row r="98" spans="2:15" collapsed="1">
      <c r="B98" s="5" t="s">
        <v>283</v>
      </c>
      <c r="C98" s="5" t="str">
        <f>"Slab desk 800 x 2400 fumed"</f>
        <v>Slab desk 800 x 2400 fumed</v>
      </c>
      <c r="D98" s="42">
        <f>2400</f>
        <v>2400</v>
      </c>
      <c r="E98" s="5"/>
      <c r="F98" s="5"/>
      <c r="G98" s="42"/>
      <c r="H98" s="7"/>
      <c r="I98" s="5"/>
      <c r="J98" s="5"/>
      <c r="K98" s="5"/>
      <c r="L98" s="5"/>
      <c r="M98" s="5"/>
      <c r="N98" s="5"/>
      <c r="O98" s="5" t="s">
        <v>1039</v>
      </c>
    </row>
    <row r="99" spans="2:15" hidden="1" outlineLevel="1">
      <c r="B99" s="5" t="s">
        <v>279</v>
      </c>
      <c r="C99" s="5" t="str">
        <f>"Slab desk 800 x 2400 nat oak"</f>
        <v>Slab desk 800 x 2400 nat oak</v>
      </c>
      <c r="D99" s="42">
        <f>1900</f>
        <v>1900</v>
      </c>
      <c r="E99" s="5" t="s">
        <v>282</v>
      </c>
      <c r="F99" s="5" t="str">
        <f>IF($E99="","","Slab desk 800x2400 top natoak")</f>
        <v>Slab desk 800x2400 top natoak</v>
      </c>
      <c r="G99" s="42">
        <f>IF($E99="","",500)</f>
        <v>500</v>
      </c>
      <c r="H99" s="7">
        <v>1</v>
      </c>
      <c r="I99" s="5">
        <v>0.05</v>
      </c>
      <c r="J99" s="5">
        <v>0.86</v>
      </c>
      <c r="K99" s="5">
        <v>2.48</v>
      </c>
      <c r="L99" s="5">
        <v>35</v>
      </c>
      <c r="M99" s="5" t="s">
        <v>6301</v>
      </c>
      <c r="N99" s="5" t="s">
        <v>6299</v>
      </c>
      <c r="O99" s="5" t="s">
        <v>1039</v>
      </c>
    </row>
    <row r="100" spans="2:15" hidden="1" outlineLevel="1">
      <c r="B100" s="5" t="s">
        <v>279</v>
      </c>
      <c r="C100" s="5" t="str">
        <f>"Slab desk 800 x 2400 nat oak"</f>
        <v>Slab desk 800 x 2400 nat oak</v>
      </c>
      <c r="D100" s="42">
        <f>1900</f>
        <v>1900</v>
      </c>
      <c r="E100" s="5" t="s">
        <v>281</v>
      </c>
      <c r="F100" s="5" t="str">
        <f>IF($E100="","","Slab desk 800x2400 beam natoak")</f>
        <v>Slab desk 800x2400 beam natoak</v>
      </c>
      <c r="G100" s="42">
        <f>IF($E100="","",500)</f>
        <v>500</v>
      </c>
      <c r="H100" s="7">
        <v>1</v>
      </c>
      <c r="I100" s="5">
        <v>0.05</v>
      </c>
      <c r="J100" s="5">
        <v>0.16</v>
      </c>
      <c r="K100" s="5">
        <v>1.93</v>
      </c>
      <c r="L100" s="5">
        <v>6</v>
      </c>
      <c r="M100" s="5" t="s">
        <v>6301</v>
      </c>
      <c r="N100" s="5" t="s">
        <v>6299</v>
      </c>
      <c r="O100" s="5" t="s">
        <v>1039</v>
      </c>
    </row>
    <row r="101" spans="2:15" hidden="1" outlineLevel="1">
      <c r="B101" s="5" t="s">
        <v>279</v>
      </c>
      <c r="C101" s="5" t="str">
        <f>"Slab desk 800 x 2400 nat oak"</f>
        <v>Slab desk 800 x 2400 nat oak</v>
      </c>
      <c r="D101" s="42">
        <f>1900</f>
        <v>1900</v>
      </c>
      <c r="E101" s="5" t="s">
        <v>280</v>
      </c>
      <c r="F101" s="5" t="str">
        <f>IF($E101="","","Slab desk 800x2400 legs natoak")</f>
        <v>Slab desk 800x2400 legs natoak</v>
      </c>
      <c r="G101" s="42">
        <f>IF($E101="","",900)</f>
        <v>900</v>
      </c>
      <c r="H101" s="7">
        <v>1</v>
      </c>
      <c r="I101" s="5">
        <v>0.18</v>
      </c>
      <c r="J101" s="5">
        <v>0.42</v>
      </c>
      <c r="K101" s="5">
        <v>0.78</v>
      </c>
      <c r="L101" s="5">
        <v>10</v>
      </c>
      <c r="M101" s="5" t="s">
        <v>6301</v>
      </c>
      <c r="N101" s="5" t="s">
        <v>6299</v>
      </c>
      <c r="O101" s="5" t="s">
        <v>1039</v>
      </c>
    </row>
    <row r="102" spans="2:15" collapsed="1">
      <c r="B102" s="5" t="s">
        <v>279</v>
      </c>
      <c r="C102" s="5" t="str">
        <f>"Slab desk 800 x 2400 nat oak"</f>
        <v>Slab desk 800 x 2400 nat oak</v>
      </c>
      <c r="D102" s="42">
        <f>1900</f>
        <v>1900</v>
      </c>
      <c r="E102" s="5"/>
      <c r="F102" s="5"/>
      <c r="G102" s="42"/>
      <c r="H102" s="7"/>
      <c r="I102" s="5"/>
      <c r="J102" s="5"/>
      <c r="K102" s="5"/>
      <c r="L102" s="5"/>
      <c r="M102" s="5"/>
      <c r="N102" s="5"/>
      <c r="O102" s="5" t="s">
        <v>1039</v>
      </c>
    </row>
    <row r="103" spans="2:15">
      <c r="B103" s="5" t="s">
        <v>278</v>
      </c>
      <c r="C103" s="5" t="str">
        <f>"Slab Bar Stool - Natural"</f>
        <v>Slab Bar Stool - Natural</v>
      </c>
      <c r="D103" s="42">
        <f>320</f>
        <v>320</v>
      </c>
      <c r="E103" s="5"/>
      <c r="F103" s="5"/>
      <c r="G103" s="42"/>
      <c r="H103" s="7"/>
      <c r="I103" s="5">
        <v>0.81</v>
      </c>
      <c r="J103" s="5">
        <v>0.41</v>
      </c>
      <c r="K103" s="5">
        <v>0.41</v>
      </c>
      <c r="L103" s="5">
        <v>10</v>
      </c>
      <c r="M103" s="5" t="s">
        <v>6301</v>
      </c>
      <c r="N103" s="5" t="s">
        <v>6326</v>
      </c>
      <c r="O103" s="5" t="s">
        <v>6332</v>
      </c>
    </row>
    <row r="104" spans="2:15">
      <c r="B104" s="5" t="s">
        <v>277</v>
      </c>
      <c r="C104" s="5" t="str">
        <f>"Slab Bar Stool - Black"</f>
        <v>Slab Bar Stool - Black</v>
      </c>
      <c r="D104" s="42">
        <f>320</f>
        <v>320</v>
      </c>
      <c r="E104" s="5"/>
      <c r="F104" s="5"/>
      <c r="G104" s="42"/>
      <c r="H104" s="7"/>
      <c r="I104" s="5">
        <v>0.86</v>
      </c>
      <c r="J104" s="5">
        <v>0.67</v>
      </c>
      <c r="K104" s="5">
        <v>0.67</v>
      </c>
      <c r="L104" s="5">
        <v>10</v>
      </c>
      <c r="M104" s="5" t="s">
        <v>6301</v>
      </c>
      <c r="N104" s="5" t="s">
        <v>6299</v>
      </c>
      <c r="O104" s="5" t="s">
        <v>6333</v>
      </c>
    </row>
    <row r="105" spans="2:15">
      <c r="B105" s="5" t="s">
        <v>276</v>
      </c>
      <c r="C105" s="5" t="str">
        <f>"Spun Table- Short Brass"</f>
        <v>Spun Table- Short Brass</v>
      </c>
      <c r="D105" s="42">
        <f>1350</f>
        <v>1350</v>
      </c>
      <c r="E105" s="5"/>
      <c r="F105" s="5"/>
      <c r="G105" s="42"/>
      <c r="H105" s="7"/>
      <c r="I105" s="5">
        <v>0.52</v>
      </c>
      <c r="J105" s="5">
        <v>0.64</v>
      </c>
      <c r="K105" s="5">
        <v>0.65</v>
      </c>
      <c r="L105" s="5">
        <v>27.5</v>
      </c>
      <c r="M105" s="5" t="s">
        <v>6161</v>
      </c>
      <c r="N105" s="5" t="s">
        <v>6315</v>
      </c>
      <c r="O105" s="5" t="s">
        <v>6334</v>
      </c>
    </row>
    <row r="106" spans="2:15">
      <c r="B106" s="5" t="s">
        <v>275</v>
      </c>
      <c r="C106" s="5" t="str">
        <f>"Spun Table -Tall Brass"</f>
        <v>Spun Table -Tall Brass</v>
      </c>
      <c r="D106" s="42">
        <f>1080</f>
        <v>1080</v>
      </c>
      <c r="E106" s="5"/>
      <c r="F106" s="5"/>
      <c r="G106" s="42"/>
      <c r="H106" s="7"/>
      <c r="I106" s="5">
        <v>0.77</v>
      </c>
      <c r="J106" s="5">
        <v>0.5</v>
      </c>
      <c r="K106" s="5">
        <v>0.5</v>
      </c>
      <c r="L106" s="5">
        <v>21</v>
      </c>
      <c r="M106" s="5" t="s">
        <v>6161</v>
      </c>
      <c r="N106" s="5" t="s">
        <v>6315</v>
      </c>
      <c r="O106" s="5" t="s">
        <v>6335</v>
      </c>
    </row>
    <row r="107" spans="2:15">
      <c r="B107" s="5" t="s">
        <v>274</v>
      </c>
      <c r="C107" s="5" t="str">
        <f>"Y Chair Swivel W/B"</f>
        <v>Y Chair Swivel W/B</v>
      </c>
      <c r="D107" s="42">
        <f>380</f>
        <v>380</v>
      </c>
      <c r="E107" s="5"/>
      <c r="F107" s="5"/>
      <c r="G107" s="42"/>
      <c r="H107" s="7"/>
      <c r="I107" s="5">
        <v>0.62</v>
      </c>
      <c r="J107" s="5">
        <v>0.57999999999999996</v>
      </c>
      <c r="K107" s="5">
        <v>0.53</v>
      </c>
      <c r="L107" s="5">
        <v>6.8</v>
      </c>
      <c r="M107" s="5" t="s">
        <v>6336</v>
      </c>
      <c r="N107" s="5" t="s">
        <v>6302</v>
      </c>
      <c r="O107" s="5" t="s">
        <v>6337</v>
      </c>
    </row>
    <row r="108" spans="2:15">
      <c r="B108" s="5" t="s">
        <v>273</v>
      </c>
      <c r="C108" s="5" t="str">
        <f>"Cable Tray 1200"</f>
        <v>Cable Tray 1200</v>
      </c>
      <c r="D108" s="42">
        <f>100</f>
        <v>100</v>
      </c>
      <c r="E108" s="5"/>
      <c r="F108" s="5"/>
      <c r="G108" s="42"/>
      <c r="H108" s="7"/>
      <c r="I108" s="5">
        <v>0.27</v>
      </c>
      <c r="J108" s="5">
        <v>0.17</v>
      </c>
      <c r="K108" s="5">
        <v>1.4</v>
      </c>
      <c r="L108" s="5">
        <v>8</v>
      </c>
      <c r="M108" s="5" t="s">
        <v>6338</v>
      </c>
      <c r="N108" s="5" t="s">
        <v>6315</v>
      </c>
      <c r="O108" s="5" t="s">
        <v>6339</v>
      </c>
    </row>
    <row r="109" spans="2:15">
      <c r="B109" s="5" t="s">
        <v>272</v>
      </c>
      <c r="C109" s="5" t="str">
        <f>"Cable Basket 1600mm Silver"</f>
        <v>Cable Basket 1600mm Silver</v>
      </c>
      <c r="D109" s="42">
        <f>130</f>
        <v>130</v>
      </c>
      <c r="E109" s="5"/>
      <c r="F109" s="5"/>
      <c r="G109" s="42"/>
      <c r="H109" s="7"/>
      <c r="I109" s="5">
        <v>0.27</v>
      </c>
      <c r="J109" s="5">
        <v>0.17</v>
      </c>
      <c r="K109" s="5">
        <v>1.8</v>
      </c>
      <c r="L109" s="5">
        <v>12</v>
      </c>
      <c r="M109" s="5" t="s">
        <v>6338</v>
      </c>
      <c r="N109" s="5" t="s">
        <v>6315</v>
      </c>
      <c r="O109" s="5" t="s">
        <v>6340</v>
      </c>
    </row>
    <row r="110" spans="2:15">
      <c r="B110" s="5" t="s">
        <v>271</v>
      </c>
      <c r="C110" s="5" t="str">
        <f>"Marble Table Top Round 600 gn"</f>
        <v>Marble Table Top Round 600 gn</v>
      </c>
      <c r="D110" s="42">
        <f>290</f>
        <v>290</v>
      </c>
      <c r="E110" s="5"/>
      <c r="F110" s="5"/>
      <c r="G110" s="42"/>
      <c r="H110" s="7"/>
      <c r="I110" s="5">
        <v>0.13</v>
      </c>
      <c r="J110" s="5">
        <v>0.74</v>
      </c>
      <c r="K110" s="5">
        <v>0.74</v>
      </c>
      <c r="L110" s="5">
        <v>21.3</v>
      </c>
      <c r="M110" s="5" t="s">
        <v>6318</v>
      </c>
      <c r="N110" s="5" t="s">
        <v>6341</v>
      </c>
      <c r="O110" s="5" t="s">
        <v>6342</v>
      </c>
    </row>
    <row r="111" spans="2:15">
      <c r="B111" s="5" t="s">
        <v>270</v>
      </c>
      <c r="C111" s="5" t="str">
        <f>"Marble Table Top Round 600 wh"</f>
        <v>Marble Table Top Round 600 wh</v>
      </c>
      <c r="D111" s="42">
        <f>290</f>
        <v>290</v>
      </c>
      <c r="E111" s="5"/>
      <c r="F111" s="5"/>
      <c r="G111" s="42"/>
      <c r="H111" s="7"/>
      <c r="I111" s="5">
        <v>0.13</v>
      </c>
      <c r="J111" s="5">
        <v>0.74</v>
      </c>
      <c r="K111" s="5">
        <v>0.74</v>
      </c>
      <c r="L111" s="5">
        <v>21.3</v>
      </c>
      <c r="M111" s="5" t="s">
        <v>6318</v>
      </c>
      <c r="N111" s="5" t="s">
        <v>6341</v>
      </c>
      <c r="O111" s="5" t="s">
        <v>6343</v>
      </c>
    </row>
    <row r="112" spans="2:15">
      <c r="B112" s="5" t="s">
        <v>269</v>
      </c>
      <c r="C112" s="5" t="str">
        <f>"Marble Table Top Round 900 wh"</f>
        <v>Marble Table Top Round 900 wh</v>
      </c>
      <c r="D112" s="42">
        <f>630</f>
        <v>630</v>
      </c>
      <c r="E112" s="5"/>
      <c r="F112" s="5"/>
      <c r="G112" s="42"/>
      <c r="H112" s="7"/>
      <c r="I112" s="5">
        <v>0.11</v>
      </c>
      <c r="J112" s="5">
        <v>1.04</v>
      </c>
      <c r="K112" s="5">
        <v>1.04</v>
      </c>
      <c r="L112" s="5">
        <v>53</v>
      </c>
      <c r="M112" s="5" t="s">
        <v>6318</v>
      </c>
      <c r="N112" s="5" t="s">
        <v>6341</v>
      </c>
      <c r="O112" s="5" t="s">
        <v>6344</v>
      </c>
    </row>
    <row r="113" spans="2:15">
      <c r="B113" s="5" t="s">
        <v>268</v>
      </c>
      <c r="C113" s="5" t="str">
        <f>"Marble Table Top Round 900 wh"</f>
        <v>Marble Table Top Round 900 wh</v>
      </c>
      <c r="D113" s="42">
        <f>520</f>
        <v>520</v>
      </c>
      <c r="E113" s="5"/>
      <c r="F113" s="5"/>
      <c r="G113" s="42"/>
      <c r="H113" s="7"/>
      <c r="I113" s="5">
        <v>0.13</v>
      </c>
      <c r="J113" s="5">
        <v>1.07</v>
      </c>
      <c r="K113" s="5">
        <v>1.07</v>
      </c>
      <c r="L113" s="5">
        <v>45</v>
      </c>
      <c r="M113" s="5" t="s">
        <v>6318</v>
      </c>
      <c r="N113" s="5" t="s">
        <v>6341</v>
      </c>
      <c r="O113" s="5" t="s">
        <v>6345</v>
      </c>
    </row>
    <row r="114" spans="2:15">
      <c r="B114" s="5" t="s">
        <v>267</v>
      </c>
      <c r="C114" s="5" t="str">
        <f>"Marble Table Top Square 650 gn"</f>
        <v>Marble Table Top Square 650 gn</v>
      </c>
      <c r="D114" s="42">
        <f>320</f>
        <v>320</v>
      </c>
      <c r="E114" s="5"/>
      <c r="F114" s="5"/>
      <c r="G114" s="42"/>
      <c r="H114" s="7"/>
      <c r="I114" s="5">
        <v>0.13</v>
      </c>
      <c r="J114" s="5">
        <v>0.8</v>
      </c>
      <c r="K114" s="5">
        <v>0.8</v>
      </c>
      <c r="L114" s="5">
        <v>40</v>
      </c>
      <c r="M114" s="5" t="s">
        <v>6318</v>
      </c>
      <c r="N114" s="5" t="s">
        <v>6341</v>
      </c>
      <c r="O114" s="5" t="s">
        <v>6346</v>
      </c>
    </row>
    <row r="115" spans="2:15">
      <c r="B115" s="5" t="s">
        <v>266</v>
      </c>
      <c r="C115" s="5" t="str">
        <f>"Marble Table Top Square 650 wh"</f>
        <v>Marble Table Top Square 650 wh</v>
      </c>
      <c r="D115" s="42">
        <f>320</f>
        <v>320</v>
      </c>
      <c r="E115" s="5"/>
      <c r="F115" s="5"/>
      <c r="G115" s="42"/>
      <c r="H115" s="7"/>
      <c r="I115" s="5">
        <v>0.13</v>
      </c>
      <c r="J115" s="5">
        <v>0.8</v>
      </c>
      <c r="K115" s="5">
        <v>0.8</v>
      </c>
      <c r="L115" s="5">
        <v>40</v>
      </c>
      <c r="M115" s="5" t="s">
        <v>6318</v>
      </c>
      <c r="N115" s="5" t="s">
        <v>6341</v>
      </c>
      <c r="O115" s="5" t="s">
        <v>6347</v>
      </c>
    </row>
    <row r="116" spans="2:15">
      <c r="B116" s="5" t="s">
        <v>265</v>
      </c>
      <c r="C116" s="5" t="str">
        <f>"Wood Top Round 600 black oak"</f>
        <v>Wood Top Round 600 black oak</v>
      </c>
      <c r="D116" s="42">
        <f>240</f>
        <v>240</v>
      </c>
      <c r="E116" s="5"/>
      <c r="F116" s="5"/>
      <c r="G116" s="42"/>
      <c r="H116" s="7"/>
      <c r="I116" s="5">
        <v>0.1</v>
      </c>
      <c r="J116" s="5">
        <v>0.72</v>
      </c>
      <c r="K116" s="5">
        <v>0.72</v>
      </c>
      <c r="L116" s="5">
        <v>8</v>
      </c>
      <c r="M116" s="5" t="s">
        <v>6301</v>
      </c>
      <c r="N116" s="5" t="s">
        <v>6299</v>
      </c>
      <c r="O116" s="5" t="s">
        <v>6348</v>
      </c>
    </row>
    <row r="117" spans="2:15">
      <c r="B117" s="5" t="s">
        <v>264</v>
      </c>
      <c r="C117" s="5" t="str">
        <f>"Wood Top Round 600 fumed"</f>
        <v>Wood Top Round 600 fumed</v>
      </c>
      <c r="D117" s="42">
        <f>290</f>
        <v>290</v>
      </c>
      <c r="E117" s="5"/>
      <c r="F117" s="5"/>
      <c r="G117" s="42"/>
      <c r="H117" s="7"/>
      <c r="I117" s="5">
        <v>0.12</v>
      </c>
      <c r="J117" s="5">
        <v>0.62</v>
      </c>
      <c r="K117" s="5">
        <v>0.62</v>
      </c>
      <c r="L117" s="5">
        <v>4</v>
      </c>
      <c r="M117" s="5" t="s">
        <v>6301</v>
      </c>
      <c r="N117" s="5" t="s">
        <v>6299</v>
      </c>
      <c r="O117" s="5" t="s">
        <v>6349</v>
      </c>
    </row>
    <row r="118" spans="2:15">
      <c r="B118" s="5" t="s">
        <v>263</v>
      </c>
      <c r="C118" s="5" t="str">
        <f>"Wood Top Round 600 nat oak"</f>
        <v>Wood Top Round 600 nat oak</v>
      </c>
      <c r="D118" s="42">
        <f>260</f>
        <v>260</v>
      </c>
      <c r="E118" s="5"/>
      <c r="F118" s="5"/>
      <c r="G118" s="42"/>
      <c r="H118" s="7"/>
      <c r="I118" s="5">
        <v>0.1</v>
      </c>
      <c r="J118" s="5">
        <v>0.72</v>
      </c>
      <c r="K118" s="5">
        <v>0.72</v>
      </c>
      <c r="L118" s="5">
        <v>8</v>
      </c>
      <c r="M118" s="5" t="s">
        <v>6301</v>
      </c>
      <c r="N118" s="5" t="s">
        <v>6299</v>
      </c>
      <c r="O118" s="5" t="s">
        <v>6350</v>
      </c>
    </row>
    <row r="119" spans="2:15">
      <c r="B119" s="5" t="s">
        <v>262</v>
      </c>
      <c r="C119" s="5" t="str">
        <f>"Wood Top Square 650 fumed"</f>
        <v>Wood Top Square 650 fumed</v>
      </c>
      <c r="D119" s="42">
        <f>340</f>
        <v>340</v>
      </c>
      <c r="E119" s="5"/>
      <c r="F119" s="5"/>
      <c r="G119" s="42"/>
      <c r="H119" s="7"/>
      <c r="I119" s="5">
        <v>0.12</v>
      </c>
      <c r="J119" s="5">
        <v>0.72</v>
      </c>
      <c r="K119" s="5">
        <v>0.72</v>
      </c>
      <c r="L119" s="5">
        <v>12</v>
      </c>
      <c r="M119" s="5" t="s">
        <v>6301</v>
      </c>
      <c r="N119" s="5" t="s">
        <v>6299</v>
      </c>
      <c r="O119" s="5" t="s">
        <v>6351</v>
      </c>
    </row>
    <row r="120" spans="2:15">
      <c r="B120" s="5" t="s">
        <v>261</v>
      </c>
      <c r="C120" s="5" t="str">
        <f>"Wood Top Round 900á birch"</f>
        <v>Wood Top Round 900á birch</v>
      </c>
      <c r="D120" s="42">
        <f>335</f>
        <v>335</v>
      </c>
      <c r="E120" s="5"/>
      <c r="F120" s="5"/>
      <c r="G120" s="42"/>
      <c r="H120" s="7"/>
      <c r="I120" s="5">
        <v>0.12</v>
      </c>
      <c r="J120" s="5">
        <v>0.92</v>
      </c>
      <c r="K120" s="5">
        <v>0.92</v>
      </c>
      <c r="L120" s="5">
        <v>9</v>
      </c>
      <c r="M120" s="5" t="s">
        <v>6301</v>
      </c>
      <c r="N120" s="5" t="s">
        <v>6299</v>
      </c>
      <c r="O120" s="5" t="s">
        <v>6352</v>
      </c>
    </row>
    <row r="121" spans="2:15">
      <c r="B121" s="5" t="s">
        <v>260</v>
      </c>
      <c r="C121" s="5" t="str">
        <f>"Wood Top Round 900 black oak"</f>
        <v>Wood Top Round 900 black oak</v>
      </c>
      <c r="D121" s="42">
        <f>470</f>
        <v>470</v>
      </c>
      <c r="E121" s="5"/>
      <c r="F121" s="5"/>
      <c r="G121" s="42"/>
      <c r="H121" s="7"/>
      <c r="I121" s="5">
        <v>0.12</v>
      </c>
      <c r="J121" s="5">
        <v>0.92</v>
      </c>
      <c r="K121" s="5">
        <v>0.92</v>
      </c>
      <c r="L121" s="5">
        <v>9</v>
      </c>
      <c r="M121" s="5" t="s">
        <v>6301</v>
      </c>
      <c r="N121" s="5" t="s">
        <v>6299</v>
      </c>
      <c r="O121" s="5" t="s">
        <v>6353</v>
      </c>
    </row>
    <row r="122" spans="2:15">
      <c r="B122" s="5" t="s">
        <v>259</v>
      </c>
      <c r="C122" s="5" t="str">
        <f>"Wood Top Round 900 fumed"</f>
        <v>Wood Top Round 900 fumed</v>
      </c>
      <c r="D122" s="42">
        <f>550</f>
        <v>550</v>
      </c>
      <c r="E122" s="5"/>
      <c r="F122" s="5"/>
      <c r="G122" s="42"/>
      <c r="H122" s="7"/>
      <c r="I122" s="5">
        <v>0.12</v>
      </c>
      <c r="J122" s="5">
        <v>0.92</v>
      </c>
      <c r="K122" s="5">
        <v>0.92</v>
      </c>
      <c r="L122" s="5">
        <v>9</v>
      </c>
      <c r="M122" s="5" t="s">
        <v>6301</v>
      </c>
      <c r="N122" s="5" t="s">
        <v>6299</v>
      </c>
      <c r="O122" s="5" t="s">
        <v>6354</v>
      </c>
    </row>
    <row r="123" spans="2:15">
      <c r="B123" s="5" t="s">
        <v>258</v>
      </c>
      <c r="C123" s="5" t="str">
        <f>"Wood Top Round 900 nat oak"</f>
        <v>Wood Top Round 900 nat oak</v>
      </c>
      <c r="D123" s="42">
        <f>470</f>
        <v>470</v>
      </c>
      <c r="E123" s="5"/>
      <c r="F123" s="5"/>
      <c r="G123" s="42"/>
      <c r="H123" s="7"/>
      <c r="I123" s="5">
        <v>0.12</v>
      </c>
      <c r="J123" s="5">
        <v>0.92</v>
      </c>
      <c r="K123" s="5">
        <v>0.92</v>
      </c>
      <c r="L123" s="5">
        <v>9</v>
      </c>
      <c r="M123" s="5" t="s">
        <v>6301</v>
      </c>
      <c r="N123" s="5" t="s">
        <v>6299</v>
      </c>
      <c r="O123" s="5" t="s">
        <v>6355</v>
      </c>
    </row>
    <row r="124" spans="2:15">
      <c r="B124" s="5" t="s">
        <v>257</v>
      </c>
      <c r="C124" s="5" t="str">
        <f>"Wood Top Square 650 birch"</f>
        <v>Wood Top Square 650 birch</v>
      </c>
      <c r="D124" s="42">
        <f>210</f>
        <v>210</v>
      </c>
      <c r="E124" s="5"/>
      <c r="F124" s="5"/>
      <c r="G124" s="42"/>
      <c r="H124" s="7"/>
      <c r="I124" s="5">
        <v>0.12</v>
      </c>
      <c r="J124" s="5">
        <v>0.67</v>
      </c>
      <c r="K124" s="5">
        <v>0.67</v>
      </c>
      <c r="L124" s="5">
        <v>6</v>
      </c>
      <c r="M124" s="5" t="s">
        <v>6301</v>
      </c>
      <c r="N124" s="5" t="s">
        <v>6299</v>
      </c>
      <c r="O124" s="5" t="s">
        <v>6356</v>
      </c>
    </row>
    <row r="125" spans="2:15">
      <c r="B125" s="5" t="s">
        <v>256</v>
      </c>
      <c r="C125" s="5" t="str">
        <f>"Wood Top Square 650 black oak"</f>
        <v>Wood Top Square 650 black oak</v>
      </c>
      <c r="D125" s="42">
        <f>270</f>
        <v>270</v>
      </c>
      <c r="E125" s="5"/>
      <c r="F125" s="5"/>
      <c r="G125" s="42"/>
      <c r="H125" s="7"/>
      <c r="I125" s="5">
        <v>0.12</v>
      </c>
      <c r="J125" s="5">
        <v>0.72</v>
      </c>
      <c r="K125" s="5">
        <v>0.72</v>
      </c>
      <c r="L125" s="5">
        <v>12</v>
      </c>
      <c r="M125" s="5" t="s">
        <v>6301</v>
      </c>
      <c r="N125" s="5" t="s">
        <v>6299</v>
      </c>
      <c r="O125" s="5" t="s">
        <v>6357</v>
      </c>
    </row>
    <row r="126" spans="2:15">
      <c r="B126" s="5" t="s">
        <v>255</v>
      </c>
      <c r="C126" s="5" t="str">
        <f>"Wood Top Square 650 nat oak"</f>
        <v>Wood Top Square 650 nat oak</v>
      </c>
      <c r="D126" s="42">
        <f>290</f>
        <v>290</v>
      </c>
      <c r="E126" s="5"/>
      <c r="F126" s="5"/>
      <c r="G126" s="42"/>
      <c r="H126" s="7"/>
      <c r="I126" s="5">
        <v>0.12</v>
      </c>
      <c r="J126" s="5">
        <v>0.72</v>
      </c>
      <c r="K126" s="5">
        <v>0.72</v>
      </c>
      <c r="L126" s="5">
        <v>12</v>
      </c>
      <c r="M126" s="5" t="s">
        <v>6301</v>
      </c>
      <c r="N126" s="5" t="s">
        <v>6299</v>
      </c>
      <c r="O126" s="5" t="s">
        <v>6358</v>
      </c>
    </row>
    <row r="127" spans="2:15">
      <c r="B127" s="5" t="s">
        <v>254</v>
      </c>
      <c r="C127" s="5" t="str">
        <f>"Fan Base - Black Birch"</f>
        <v>Fan Base - Black Birch</v>
      </c>
      <c r="D127" s="42">
        <f>300</f>
        <v>300</v>
      </c>
      <c r="E127" s="5"/>
      <c r="F127" s="5"/>
      <c r="G127" s="42"/>
      <c r="H127" s="7"/>
      <c r="I127" s="5">
        <v>0.46</v>
      </c>
      <c r="J127" s="5">
        <v>0.43</v>
      </c>
      <c r="K127" s="5">
        <v>0.43</v>
      </c>
      <c r="L127" s="5">
        <v>4.4000000000000004</v>
      </c>
      <c r="M127" s="5" t="s">
        <v>6301</v>
      </c>
      <c r="N127" s="5" t="s">
        <v>6302</v>
      </c>
      <c r="O127" s="5" t="s">
        <v>6304</v>
      </c>
    </row>
    <row r="128" spans="2:15">
      <c r="B128" s="5" t="s">
        <v>253</v>
      </c>
      <c r="C128" s="5" t="str">
        <f>"Fan Base - Natural Oak"</f>
        <v>Fan Base - Natural Oak</v>
      </c>
      <c r="D128" s="42">
        <f>320</f>
        <v>320</v>
      </c>
      <c r="E128" s="5"/>
      <c r="F128" s="5"/>
      <c r="G128" s="42"/>
      <c r="H128" s="7"/>
      <c r="I128" s="5">
        <v>0.46</v>
      </c>
      <c r="J128" s="5">
        <v>0.43</v>
      </c>
      <c r="K128" s="5">
        <v>0.43</v>
      </c>
      <c r="L128" s="5">
        <v>4.4000000000000004</v>
      </c>
      <c r="M128" s="5" t="s">
        <v>6301</v>
      </c>
      <c r="N128" s="5" t="s">
        <v>6302</v>
      </c>
      <c r="O128" s="5" t="s">
        <v>6305</v>
      </c>
    </row>
    <row r="129" spans="2:15" hidden="1" outlineLevel="1">
      <c r="B129" s="5" t="s">
        <v>249</v>
      </c>
      <c r="C129" s="5" t="str">
        <f>"Roll Base"</f>
        <v>Roll Base</v>
      </c>
      <c r="D129" s="42">
        <f>390</f>
        <v>390</v>
      </c>
      <c r="E129" s="5" t="s">
        <v>252</v>
      </c>
      <c r="F129" s="5" t="str">
        <f>IF($E129="","","Roll Table Base")</f>
        <v>Roll Table Base</v>
      </c>
      <c r="G129" s="42">
        <f>IF($E129="","",100)</f>
        <v>100</v>
      </c>
      <c r="H129" s="7">
        <v>1</v>
      </c>
      <c r="I129" s="5">
        <v>0.13</v>
      </c>
      <c r="J129" s="5">
        <v>0.53</v>
      </c>
      <c r="K129" s="5">
        <v>0.53</v>
      </c>
      <c r="L129" s="5">
        <v>15.5</v>
      </c>
      <c r="M129" s="5" t="s">
        <v>6318</v>
      </c>
      <c r="N129" s="5" t="s">
        <v>6306</v>
      </c>
      <c r="O129" s="5" t="s">
        <v>6359</v>
      </c>
    </row>
    <row r="130" spans="2:15" hidden="1" outlineLevel="1">
      <c r="B130" s="5" t="s">
        <v>249</v>
      </c>
      <c r="C130" s="5" t="str">
        <f>"Roll Base"</f>
        <v>Roll Base</v>
      </c>
      <c r="D130" s="42">
        <f>390</f>
        <v>390</v>
      </c>
      <c r="E130" s="5" t="s">
        <v>251</v>
      </c>
      <c r="F130" s="5" t="str">
        <f>IF($E130="","","Roll Table Top Plate")</f>
        <v>Roll Table Top Plate</v>
      </c>
      <c r="G130" s="42">
        <f>IF($E130="","",100)</f>
        <v>100</v>
      </c>
      <c r="H130" s="7">
        <v>1</v>
      </c>
      <c r="I130" s="5">
        <v>0.26</v>
      </c>
      <c r="J130" s="5">
        <v>0.26</v>
      </c>
      <c r="K130" s="5">
        <v>0.1</v>
      </c>
      <c r="L130" s="5">
        <v>3.15</v>
      </c>
      <c r="M130" s="5" t="s">
        <v>6318</v>
      </c>
      <c r="N130" s="5" t="s">
        <v>6306</v>
      </c>
      <c r="O130" s="5" t="s">
        <v>6360</v>
      </c>
    </row>
    <row r="131" spans="2:15" hidden="1" outlineLevel="1">
      <c r="B131" s="5" t="s">
        <v>249</v>
      </c>
      <c r="C131" s="5" t="str">
        <f>"Roll Base"</f>
        <v>Roll Base</v>
      </c>
      <c r="D131" s="42">
        <f>390</f>
        <v>390</v>
      </c>
      <c r="E131" s="5" t="s">
        <v>250</v>
      </c>
      <c r="F131" s="5" t="str">
        <f>IF($E131="","","Roll Table Stem")</f>
        <v>Roll Table Stem</v>
      </c>
      <c r="G131" s="42">
        <f>IF($E131="","",190)</f>
        <v>190</v>
      </c>
      <c r="H131" s="7">
        <v>1</v>
      </c>
      <c r="I131" s="5">
        <v>0.1</v>
      </c>
      <c r="J131" s="5">
        <v>0.64</v>
      </c>
      <c r="K131" s="5">
        <v>0.1</v>
      </c>
      <c r="L131" s="5">
        <v>3.4</v>
      </c>
      <c r="M131" s="5" t="s">
        <v>6318</v>
      </c>
      <c r="N131" s="5" t="s">
        <v>6306</v>
      </c>
      <c r="O131" s="5" t="s">
        <v>6361</v>
      </c>
    </row>
    <row r="132" spans="2:15" collapsed="1">
      <c r="B132" s="5" t="s">
        <v>249</v>
      </c>
      <c r="C132" s="5" t="str">
        <f>"Roll Base"</f>
        <v>Roll Base</v>
      </c>
      <c r="D132" s="42">
        <f>390</f>
        <v>390</v>
      </c>
      <c r="E132" s="5"/>
      <c r="F132" s="5"/>
      <c r="G132" s="6"/>
      <c r="H132" s="7"/>
      <c r="I132" s="5"/>
      <c r="J132" s="5"/>
      <c r="K132" s="5"/>
      <c r="L132" s="5"/>
      <c r="M132" s="5"/>
      <c r="N132" s="5"/>
      <c r="O132" s="5" t="s">
        <v>1039</v>
      </c>
    </row>
    <row r="133" spans="2:15">
      <c r="B133" s="5" t="s">
        <v>248</v>
      </c>
      <c r="C133" s="5" t="str">
        <f>"Screw Café Base"</f>
        <v>Screw Café Base</v>
      </c>
      <c r="D133" s="42">
        <f>695</f>
        <v>695</v>
      </c>
      <c r="E133" s="5"/>
      <c r="F133" s="5"/>
      <c r="G133" s="6"/>
      <c r="H133" s="7"/>
      <c r="I133" s="5">
        <v>0.6</v>
      </c>
      <c r="J133" s="5">
        <v>0.6</v>
      </c>
      <c r="K133" s="5">
        <v>0.52</v>
      </c>
      <c r="L133" s="5">
        <v>22</v>
      </c>
      <c r="M133" s="5" t="s">
        <v>6318</v>
      </c>
      <c r="N133" s="5" t="s">
        <v>6362</v>
      </c>
      <c r="O133" s="5" t="s">
        <v>6363</v>
      </c>
    </row>
    <row r="134" spans="2:15">
      <c r="B134" s="5" t="s">
        <v>247</v>
      </c>
      <c r="C134" s="5" t="str">
        <f>"Screw Side Table Base"</f>
        <v>Screw Side Table Base</v>
      </c>
      <c r="D134" s="42">
        <f>625</f>
        <v>625</v>
      </c>
      <c r="E134" s="5"/>
      <c r="F134" s="5"/>
      <c r="G134" s="6"/>
      <c r="H134" s="7"/>
      <c r="I134" s="5">
        <v>0.51</v>
      </c>
      <c r="J134" s="5">
        <v>0.49</v>
      </c>
      <c r="K134" s="5">
        <v>0.44</v>
      </c>
      <c r="L134" s="5">
        <v>16</v>
      </c>
      <c r="M134" s="5" t="s">
        <v>6318</v>
      </c>
      <c r="N134" s="5" t="s">
        <v>6362</v>
      </c>
      <c r="O134" s="5" t="s">
        <v>6364</v>
      </c>
    </row>
    <row r="135" spans="2:15">
      <c r="B135" s="5" t="s">
        <v>246</v>
      </c>
      <c r="C135" s="5" t="str">
        <f>"Tube Base - Brass"</f>
        <v>Tube Base - Brass</v>
      </c>
      <c r="D135" s="42">
        <f>700</f>
        <v>700</v>
      </c>
      <c r="E135" s="5"/>
      <c r="F135" s="5"/>
      <c r="G135" s="6"/>
      <c r="H135" s="7"/>
      <c r="I135" s="5">
        <v>0.8</v>
      </c>
      <c r="J135" s="5">
        <v>0.63</v>
      </c>
      <c r="K135" s="5">
        <v>0.63</v>
      </c>
      <c r="L135" s="5">
        <v>20.6</v>
      </c>
      <c r="M135" s="5" t="s">
        <v>6161</v>
      </c>
      <c r="N135" s="5" t="s">
        <v>6341</v>
      </c>
      <c r="O135" s="5" t="s">
        <v>6365</v>
      </c>
    </row>
  </sheetData>
  <mergeCells count="1">
    <mergeCell ref="I4:L4"/>
  </mergeCell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66C9F9-982A-44A1-9CA7-2D7E629A7F40}">
  <dimension ref="A1:L232"/>
  <sheetViews>
    <sheetView showGridLines="0" topLeftCell="B2" zoomScaleNormal="100" workbookViewId="0">
      <pane ySplit="4" topLeftCell="A6" activePane="bottomLeft" state="frozen"/>
      <selection activeCell="B2" sqref="B2"/>
      <selection pane="bottomLeft" activeCell="C10" sqref="C10"/>
    </sheetView>
  </sheetViews>
  <sheetFormatPr baseColWidth="10" defaultColWidth="9.140625" defaultRowHeight="15"/>
  <cols>
    <col min="1" max="1" width="9.140625" hidden="1" customWidth="1"/>
    <col min="2" max="2" width="15.28515625" bestFit="1" customWidth="1"/>
    <col min="3" max="3" width="34.42578125" bestFit="1" customWidth="1"/>
    <col min="4" max="4" width="17" customWidth="1"/>
    <col min="5" max="5" width="15.5703125" bestFit="1" customWidth="1"/>
    <col min="6" max="6" width="16.7109375" bestFit="1" customWidth="1"/>
    <col min="7" max="7" width="7.140625" bestFit="1" customWidth="1"/>
    <col min="8" max="8" width="7.5703125" bestFit="1" customWidth="1"/>
    <col min="9" max="9" width="6.5703125" bestFit="1" customWidth="1"/>
    <col min="10" max="10" width="8.28515625" bestFit="1" customWidth="1"/>
    <col min="11" max="11" width="9.85546875" bestFit="1" customWidth="1"/>
    <col min="12" max="12" width="13.42578125" bestFit="1" customWidth="1"/>
  </cols>
  <sheetData>
    <row r="1" spans="1:12" hidden="1">
      <c r="A1" s="16" t="s">
        <v>6156</v>
      </c>
      <c r="B1" t="s">
        <v>0</v>
      </c>
      <c r="C1" t="s">
        <v>0</v>
      </c>
      <c r="D1" t="s">
        <v>0</v>
      </c>
      <c r="E1" t="s">
        <v>0</v>
      </c>
      <c r="F1" t="s">
        <v>0</v>
      </c>
      <c r="G1" t="s">
        <v>0</v>
      </c>
      <c r="H1" t="s">
        <v>0</v>
      </c>
      <c r="I1" t="s">
        <v>0</v>
      </c>
      <c r="J1" t="s">
        <v>0</v>
      </c>
      <c r="K1" t="s">
        <v>0</v>
      </c>
      <c r="L1" t="s">
        <v>0</v>
      </c>
    </row>
    <row r="2" spans="1:12" ht="15.75">
      <c r="B2" s="30"/>
      <c r="C2" s="16"/>
      <c r="D2" s="29"/>
      <c r="E2" s="28"/>
      <c r="F2" s="16"/>
      <c r="G2" s="16"/>
      <c r="H2" s="16"/>
      <c r="I2" s="16"/>
      <c r="J2" s="16"/>
      <c r="K2" s="16"/>
      <c r="L2" s="16"/>
    </row>
    <row r="3" spans="1:12" ht="15.75">
      <c r="B3" s="50" t="s">
        <v>603</v>
      </c>
      <c r="C3" s="16"/>
      <c r="D3" s="29"/>
      <c r="E3" s="28"/>
      <c r="F3" s="16"/>
      <c r="G3" s="16"/>
      <c r="H3" s="16"/>
      <c r="I3" s="16"/>
      <c r="J3" s="16"/>
      <c r="K3" s="16"/>
      <c r="L3" s="16"/>
    </row>
    <row r="4" spans="1:12" ht="15.75">
      <c r="B4" s="16"/>
      <c r="C4" s="16"/>
      <c r="D4" s="29"/>
      <c r="E4" s="28"/>
      <c r="F4" s="16"/>
      <c r="G4" s="49" t="s">
        <v>2</v>
      </c>
      <c r="H4" s="49"/>
      <c r="I4" s="49"/>
      <c r="J4" s="49"/>
      <c r="K4" s="16"/>
      <c r="L4" s="16"/>
    </row>
    <row r="5" spans="1:12" ht="47.25">
      <c r="B5" s="26" t="s">
        <v>3</v>
      </c>
      <c r="C5" s="26" t="s">
        <v>4</v>
      </c>
      <c r="D5" s="38" t="s">
        <v>1040</v>
      </c>
      <c r="E5" s="27" t="s">
        <v>602</v>
      </c>
      <c r="F5" s="26" t="s">
        <v>601</v>
      </c>
      <c r="G5" s="24" t="s">
        <v>7</v>
      </c>
      <c r="H5" s="24" t="s">
        <v>8</v>
      </c>
      <c r="I5" s="24" t="s">
        <v>9</v>
      </c>
      <c r="J5" s="25" t="s">
        <v>10</v>
      </c>
      <c r="K5" s="24" t="s">
        <v>11</v>
      </c>
      <c r="L5" s="24" t="s">
        <v>12</v>
      </c>
    </row>
    <row r="6" spans="1:12">
      <c r="B6" s="23" t="s">
        <v>496</v>
      </c>
      <c r="C6" s="18" t="str">
        <f>"Plum Cocktail Shaker Copper"</f>
        <v>Plum Cocktail Shaker Copper</v>
      </c>
      <c r="D6" s="43">
        <f>130</f>
        <v>130</v>
      </c>
      <c r="E6" s="19">
        <f>2</f>
        <v>2</v>
      </c>
      <c r="F6" s="18" t="str">
        <f>"5060278451329"</f>
        <v>5060278451329</v>
      </c>
      <c r="G6" s="41">
        <f>0.21</f>
        <v>0.21</v>
      </c>
      <c r="H6" s="41">
        <f>0.24</f>
        <v>0.24</v>
      </c>
      <c r="I6" s="41">
        <f>0.185</f>
        <v>0.185</v>
      </c>
      <c r="J6" s="41">
        <f>2.515</f>
        <v>2.5150000000000001</v>
      </c>
      <c r="K6" s="18" t="str">
        <f>"IN"</f>
        <v>IN</v>
      </c>
      <c r="L6" s="18" t="str">
        <f>"7323990090"</f>
        <v>7323990090</v>
      </c>
    </row>
    <row r="7" spans="1:12">
      <c r="B7" s="23" t="s">
        <v>600</v>
      </c>
      <c r="C7" s="18" t="str">
        <f>"Spin Candelabra Mini"</f>
        <v>Spin Candelabra Mini</v>
      </c>
      <c r="D7" s="43">
        <f>420</f>
        <v>420</v>
      </c>
      <c r="E7" s="19">
        <f>2</f>
        <v>2</v>
      </c>
      <c r="F7" s="18" t="str">
        <f>"5056194500005"</f>
        <v>5056194500005</v>
      </c>
      <c r="G7" s="41">
        <f>0.36</f>
        <v>0.36</v>
      </c>
      <c r="H7" s="41">
        <f>0.17</f>
        <v>0.17</v>
      </c>
      <c r="I7" s="41">
        <f>0.57</f>
        <v>0.56999999999999995</v>
      </c>
      <c r="J7" s="41">
        <f>6.2</f>
        <v>6.2</v>
      </c>
      <c r="K7" s="18" t="str">
        <f t="shared" ref="K7:K21" si="0">"GB"</f>
        <v>GB</v>
      </c>
      <c r="L7" s="18" t="str">
        <f>"9403901090"</f>
        <v>9403901090</v>
      </c>
    </row>
    <row r="8" spans="1:12">
      <c r="B8" s="23" t="s">
        <v>599</v>
      </c>
      <c r="C8" s="18" t="str">
        <f>"Soft Cushion 43 x 43cm Wine"</f>
        <v>Soft Cushion 43 x 43cm Wine</v>
      </c>
      <c r="D8" s="43">
        <f>170</f>
        <v>170</v>
      </c>
      <c r="E8" s="19">
        <f>4</f>
        <v>4</v>
      </c>
      <c r="F8" s="18" t="str">
        <f>"5055998513211"</f>
        <v>5055998513211</v>
      </c>
      <c r="G8" s="41">
        <f>0.43</f>
        <v>0.43</v>
      </c>
      <c r="H8" s="41">
        <f>0.1</f>
        <v>0.1</v>
      </c>
      <c r="I8" s="41">
        <f>0.43</f>
        <v>0.43</v>
      </c>
      <c r="J8" s="41">
        <f>1.205</f>
        <v>1.2050000000000001</v>
      </c>
      <c r="K8" s="18" t="str">
        <f t="shared" si="0"/>
        <v>GB</v>
      </c>
      <c r="L8" s="18" t="str">
        <f>"9404901000"</f>
        <v>9404901000</v>
      </c>
    </row>
    <row r="9" spans="1:12">
      <c r="B9" s="23" t="s">
        <v>598</v>
      </c>
      <c r="C9" s="18" t="str">
        <f>"Cork Candle Large"</f>
        <v>Cork Candle Large</v>
      </c>
      <c r="D9" s="43">
        <f>150</f>
        <v>150</v>
      </c>
      <c r="E9" s="19">
        <f>2</f>
        <v>2</v>
      </c>
      <c r="F9" s="18" t="str">
        <f>"5055998513679"</f>
        <v>5055998513679</v>
      </c>
      <c r="G9" s="41">
        <f>0.16</f>
        <v>0.16</v>
      </c>
      <c r="H9" s="41">
        <f>0.12</f>
        <v>0.12</v>
      </c>
      <c r="I9" s="41">
        <f>0.12</f>
        <v>0.12</v>
      </c>
      <c r="J9" s="41">
        <f>0.54</f>
        <v>0.54</v>
      </c>
      <c r="K9" s="18" t="str">
        <f t="shared" si="0"/>
        <v>GB</v>
      </c>
      <c r="L9" s="18" t="str">
        <f>"34060000"</f>
        <v>34060000</v>
      </c>
    </row>
    <row r="10" spans="1:12">
      <c r="B10" s="23" t="s">
        <v>597</v>
      </c>
      <c r="C10" s="18" t="str">
        <f>"Cork Candle Medium"</f>
        <v>Cork Candle Medium</v>
      </c>
      <c r="D10" s="43">
        <f>75</f>
        <v>75</v>
      </c>
      <c r="E10" s="19">
        <f>6</f>
        <v>6</v>
      </c>
      <c r="F10" s="18" t="str">
        <f>"5055998513709"</f>
        <v>5055998513709</v>
      </c>
      <c r="G10" s="41">
        <f>0.12</f>
        <v>0.12</v>
      </c>
      <c r="H10" s="41">
        <f>0.12</f>
        <v>0.12</v>
      </c>
      <c r="I10" s="41">
        <f>0.12</f>
        <v>0.12</v>
      </c>
      <c r="J10" s="41">
        <f>0.37</f>
        <v>0.37</v>
      </c>
      <c r="K10" s="18" t="str">
        <f t="shared" si="0"/>
        <v>GB</v>
      </c>
      <c r="L10" s="18" t="str">
        <f>"34060000"</f>
        <v>34060000</v>
      </c>
    </row>
    <row r="11" spans="1:12">
      <c r="B11" s="23" t="s">
        <v>596</v>
      </c>
      <c r="C11" s="18" t="str">
        <f>"Materialism Candle Giftset"</f>
        <v>Materialism Candle Giftset</v>
      </c>
      <c r="D11" s="43">
        <f>140</f>
        <v>140</v>
      </c>
      <c r="E11" s="19">
        <f>6</f>
        <v>6</v>
      </c>
      <c r="F11" s="18" t="str">
        <f>"5055998513877"</f>
        <v>5055998513877</v>
      </c>
      <c r="G11" s="41">
        <f>0.123</f>
        <v>0.123</v>
      </c>
      <c r="H11" s="41">
        <f>0.113</f>
        <v>0.113</v>
      </c>
      <c r="I11" s="41">
        <f>0.446</f>
        <v>0.44600000000000001</v>
      </c>
      <c r="J11" s="41">
        <f>1.25</f>
        <v>1.25</v>
      </c>
      <c r="K11" s="18" t="str">
        <f t="shared" si="0"/>
        <v>GB</v>
      </c>
      <c r="L11" s="18" t="str">
        <f>"34060000"</f>
        <v>34060000</v>
      </c>
    </row>
    <row r="12" spans="1:12">
      <c r="B12" s="23" t="s">
        <v>595</v>
      </c>
      <c r="C12" s="18" t="str">
        <f>"Stone Giftset"</f>
        <v>Stone Giftset</v>
      </c>
      <c r="D12" s="43">
        <f>190</f>
        <v>190</v>
      </c>
      <c r="E12" s="19">
        <f>3</f>
        <v>3</v>
      </c>
      <c r="F12" s="18" t="str">
        <f>"5055998513853"</f>
        <v>5055998513853</v>
      </c>
      <c r="G12" s="41">
        <f>0.96</f>
        <v>0.96</v>
      </c>
      <c r="H12" s="41">
        <f>0.4</f>
        <v>0.4</v>
      </c>
      <c r="I12" s="41">
        <f>0.4</f>
        <v>0.4</v>
      </c>
      <c r="J12" s="41">
        <f>3.33</f>
        <v>3.33</v>
      </c>
      <c r="K12" s="18" t="str">
        <f t="shared" si="0"/>
        <v>GB</v>
      </c>
      <c r="L12" s="18" t="str">
        <f>"34060000"</f>
        <v>34060000</v>
      </c>
    </row>
    <row r="13" spans="1:12">
      <c r="B13" s="23" t="s">
        <v>594</v>
      </c>
      <c r="C13" s="18" t="str">
        <f>"London Candle Medium"</f>
        <v>London Candle Medium</v>
      </c>
      <c r="D13" s="43">
        <f>80</f>
        <v>80</v>
      </c>
      <c r="E13" s="19">
        <f>6</f>
        <v>6</v>
      </c>
      <c r="F13" s="18" t="str">
        <f>"5055998507104"</f>
        <v>5055998507104</v>
      </c>
      <c r="G13" s="41">
        <f>0.093</f>
        <v>9.2999999999999999E-2</v>
      </c>
      <c r="H13" s="41">
        <f t="shared" ref="H13:I15" si="1">0.098</f>
        <v>9.8000000000000004E-2</v>
      </c>
      <c r="I13" s="41">
        <f t="shared" si="1"/>
        <v>9.8000000000000004E-2</v>
      </c>
      <c r="J13" s="41">
        <f>0.35</f>
        <v>0.35</v>
      </c>
      <c r="K13" s="18" t="str">
        <f t="shared" si="0"/>
        <v>GB</v>
      </c>
      <c r="L13" s="18" t="str">
        <f>"7508900000"</f>
        <v>7508900000</v>
      </c>
    </row>
    <row r="14" spans="1:12">
      <c r="B14" s="23" t="s">
        <v>593</v>
      </c>
      <c r="C14" s="18" t="str">
        <f>"Scent Royalty Medium Nickel"</f>
        <v>Scent Royalty Medium Nickel</v>
      </c>
      <c r="D14" s="43">
        <f>80</f>
        <v>80</v>
      </c>
      <c r="E14" s="19">
        <f>6</f>
        <v>6</v>
      </c>
      <c r="F14" s="18" t="str">
        <f>"5055998507135"</f>
        <v>5055998507135</v>
      </c>
      <c r="G14" s="41">
        <f>0.093</f>
        <v>9.2999999999999999E-2</v>
      </c>
      <c r="H14" s="41">
        <f t="shared" si="1"/>
        <v>9.8000000000000004E-2</v>
      </c>
      <c r="I14" s="41">
        <f t="shared" si="1"/>
        <v>9.8000000000000004E-2</v>
      </c>
      <c r="J14" s="41">
        <f>0.35</f>
        <v>0.35</v>
      </c>
      <c r="K14" s="18" t="str">
        <f t="shared" si="0"/>
        <v>GB</v>
      </c>
      <c r="L14" s="18" t="str">
        <f>"3406000000"</f>
        <v>3406000000</v>
      </c>
    </row>
    <row r="15" spans="1:12">
      <c r="B15" s="23" t="s">
        <v>592</v>
      </c>
      <c r="C15" s="18" t="str">
        <f>"Scent Orientalist Medium Brass"</f>
        <v>Scent Orientalist Medium Brass</v>
      </c>
      <c r="D15" s="43">
        <f>80</f>
        <v>80</v>
      </c>
      <c r="E15" s="19">
        <f>6</f>
        <v>6</v>
      </c>
      <c r="F15" s="18" t="str">
        <f>"5055998507166"</f>
        <v>5055998507166</v>
      </c>
      <c r="G15" s="41">
        <f>0.093</f>
        <v>9.2999999999999999E-2</v>
      </c>
      <c r="H15" s="41">
        <f t="shared" si="1"/>
        <v>9.8000000000000004E-2</v>
      </c>
      <c r="I15" s="41">
        <f t="shared" si="1"/>
        <v>9.8000000000000004E-2</v>
      </c>
      <c r="J15" s="41">
        <f>0.35</f>
        <v>0.35</v>
      </c>
      <c r="K15" s="18" t="str">
        <f t="shared" si="0"/>
        <v>GB</v>
      </c>
      <c r="L15" s="18" t="str">
        <f>"3406000000"</f>
        <v>3406000000</v>
      </c>
    </row>
    <row r="16" spans="1:12">
      <c r="B16" s="23" t="s">
        <v>591</v>
      </c>
      <c r="C16" s="18" t="str">
        <f>"Scent Royalty Diffuser"</f>
        <v>Scent Royalty Diffuser</v>
      </c>
      <c r="D16" s="43">
        <f>90</f>
        <v>90</v>
      </c>
      <c r="E16" s="19">
        <f>6</f>
        <v>6</v>
      </c>
      <c r="F16" s="18" t="str">
        <f>"5055998507340"</f>
        <v>5055998507340</v>
      </c>
      <c r="G16" s="41">
        <f>0.087</f>
        <v>8.6999999999999994E-2</v>
      </c>
      <c r="H16" s="41">
        <f>0.12</f>
        <v>0.12</v>
      </c>
      <c r="I16" s="41">
        <f>0.268</f>
        <v>0.26800000000000002</v>
      </c>
      <c r="J16" s="41">
        <f t="shared" ref="J16:J21" si="2">0.6</f>
        <v>0.6</v>
      </c>
      <c r="K16" s="18" t="str">
        <f t="shared" si="0"/>
        <v>GB</v>
      </c>
      <c r="L16" s="18" t="str">
        <f>"3307490000"</f>
        <v>3307490000</v>
      </c>
    </row>
    <row r="17" spans="2:12">
      <c r="B17" s="23" t="s">
        <v>590</v>
      </c>
      <c r="C17" s="18" t="str">
        <f>"Scent Orientalist Diffuser"</f>
        <v>Scent Orientalist Diffuser</v>
      </c>
      <c r="D17" s="43">
        <f>90</f>
        <v>90</v>
      </c>
      <c r="E17" s="19">
        <f>6</f>
        <v>6</v>
      </c>
      <c r="F17" s="18" t="str">
        <f>"5055998507319"</f>
        <v>5055998507319</v>
      </c>
      <c r="G17" s="41">
        <f>0.087</f>
        <v>8.6999999999999994E-2</v>
      </c>
      <c r="H17" s="41">
        <f>0.12</f>
        <v>0.12</v>
      </c>
      <c r="I17" s="41">
        <f>0.268</f>
        <v>0.26800000000000002</v>
      </c>
      <c r="J17" s="41">
        <f t="shared" si="2"/>
        <v>0.6</v>
      </c>
      <c r="K17" s="18" t="str">
        <f t="shared" si="0"/>
        <v>GB</v>
      </c>
      <c r="L17" s="18" t="str">
        <f>"3307490000"</f>
        <v>3307490000</v>
      </c>
    </row>
    <row r="18" spans="2:12">
      <c r="B18" s="23" t="s">
        <v>589</v>
      </c>
      <c r="C18" s="18" t="str">
        <f>"Scent London Large Copper"</f>
        <v>Scent London Large Copper</v>
      </c>
      <c r="D18" s="43">
        <f>110</f>
        <v>110</v>
      </c>
      <c r="E18" s="19">
        <f>4</f>
        <v>4</v>
      </c>
      <c r="F18" s="18" t="str">
        <f>"5055998507197"</f>
        <v>5055998507197</v>
      </c>
      <c r="G18" s="41">
        <f>0.106</f>
        <v>0.106</v>
      </c>
      <c r="H18" s="41">
        <f>0.122</f>
        <v>0.122</v>
      </c>
      <c r="I18" s="41">
        <f>0.122</f>
        <v>0.122</v>
      </c>
      <c r="J18" s="41">
        <f t="shared" si="2"/>
        <v>0.6</v>
      </c>
      <c r="K18" s="18" t="str">
        <f t="shared" si="0"/>
        <v>GB</v>
      </c>
      <c r="L18" s="18" t="str">
        <f>"3406000000"</f>
        <v>3406000000</v>
      </c>
    </row>
    <row r="19" spans="2:12">
      <c r="B19" s="23" t="s">
        <v>588</v>
      </c>
      <c r="C19" s="18" t="str">
        <f>"Scent London Diffuser"</f>
        <v>Scent London Diffuser</v>
      </c>
      <c r="D19" s="43">
        <f>90</f>
        <v>90</v>
      </c>
      <c r="E19" s="19">
        <f>6</f>
        <v>6</v>
      </c>
      <c r="F19" s="18" t="str">
        <f>"5055998507371"</f>
        <v>5055998507371</v>
      </c>
      <c r="G19" s="41">
        <f>0.087</f>
        <v>8.6999999999999994E-2</v>
      </c>
      <c r="H19" s="41">
        <f>0.12</f>
        <v>0.12</v>
      </c>
      <c r="I19" s="41">
        <f>0.268</f>
        <v>0.26800000000000002</v>
      </c>
      <c r="J19" s="41">
        <f t="shared" si="2"/>
        <v>0.6</v>
      </c>
      <c r="K19" s="18" t="str">
        <f t="shared" si="0"/>
        <v>GB</v>
      </c>
      <c r="L19" s="18" t="str">
        <f>"3307490000"</f>
        <v>3307490000</v>
      </c>
    </row>
    <row r="20" spans="2:12">
      <c r="B20" s="23" t="s">
        <v>587</v>
      </c>
      <c r="C20" s="18" t="str">
        <f>"Scent Orientalist Large Brass"</f>
        <v>Scent Orientalist Large Brass</v>
      </c>
      <c r="D20" s="43">
        <f>110</f>
        <v>110</v>
      </c>
      <c r="E20" s="19">
        <f>4</f>
        <v>4</v>
      </c>
      <c r="F20" s="18" t="str">
        <f>"5055998507258"</f>
        <v>5055998507258</v>
      </c>
      <c r="G20" s="41">
        <f>0.106</f>
        <v>0.106</v>
      </c>
      <c r="H20" s="41">
        <f>0.122</f>
        <v>0.122</v>
      </c>
      <c r="I20" s="41">
        <f>0.122</f>
        <v>0.122</v>
      </c>
      <c r="J20" s="41">
        <f t="shared" si="2"/>
        <v>0.6</v>
      </c>
      <c r="K20" s="18" t="str">
        <f t="shared" si="0"/>
        <v>GB</v>
      </c>
      <c r="L20" s="18" t="str">
        <f>"3406000000"</f>
        <v>3406000000</v>
      </c>
    </row>
    <row r="21" spans="2:12">
      <c r="B21" s="23" t="s">
        <v>586</v>
      </c>
      <c r="C21" s="18" t="str">
        <f>"Scent Royalty Large Nickel"</f>
        <v>Scent Royalty Large Nickel</v>
      </c>
      <c r="D21" s="43">
        <f>110</f>
        <v>110</v>
      </c>
      <c r="E21" s="19">
        <f>4</f>
        <v>4</v>
      </c>
      <c r="F21" s="18" t="str">
        <f>"5055998507227"</f>
        <v>5055998507227</v>
      </c>
      <c r="G21" s="41">
        <f>0.106</f>
        <v>0.106</v>
      </c>
      <c r="H21" s="41">
        <f>0.122</f>
        <v>0.122</v>
      </c>
      <c r="I21" s="41">
        <f>0.122</f>
        <v>0.122</v>
      </c>
      <c r="J21" s="41">
        <f t="shared" si="2"/>
        <v>0.6</v>
      </c>
      <c r="K21" s="18" t="str">
        <f t="shared" si="0"/>
        <v>GB</v>
      </c>
      <c r="L21" s="18" t="str">
        <f>"3406000000"</f>
        <v>3406000000</v>
      </c>
    </row>
    <row r="22" spans="2:12">
      <c r="B22" s="23" t="s">
        <v>585</v>
      </c>
      <c r="C22" s="18" t="str">
        <f>"Stripe Rug Round B/W"</f>
        <v>Stripe Rug Round B/W</v>
      </c>
      <c r="D22" s="43">
        <f>1350</f>
        <v>1350</v>
      </c>
      <c r="E22" s="19">
        <v>1</v>
      </c>
      <c r="F22" s="18" t="str">
        <f>"5060441508850"</f>
        <v>5060441508850</v>
      </c>
      <c r="G22" s="41">
        <f>0.19</f>
        <v>0.19</v>
      </c>
      <c r="H22" s="41">
        <f>0.19</f>
        <v>0.19</v>
      </c>
      <c r="I22" s="41">
        <f>2.05</f>
        <v>2.0499999999999998</v>
      </c>
      <c r="J22" s="41">
        <f>20</f>
        <v>20</v>
      </c>
      <c r="K22" s="18" t="str">
        <f>"IN"</f>
        <v>IN</v>
      </c>
      <c r="L22" s="18" t="str">
        <f>"5705003090"</f>
        <v>5705003090</v>
      </c>
    </row>
    <row r="23" spans="2:12">
      <c r="B23" s="23" t="s">
        <v>584</v>
      </c>
      <c r="C23" s="18" t="str">
        <f>"Stripe Rug Rectangular B/W"</f>
        <v>Stripe Rug Rectangular B/W</v>
      </c>
      <c r="D23" s="43">
        <f>1850</f>
        <v>1850</v>
      </c>
      <c r="E23" s="19">
        <v>1</v>
      </c>
      <c r="F23" s="18" t="str">
        <f>"5060441508874"</f>
        <v>5060441508874</v>
      </c>
      <c r="G23" s="41">
        <f>0.21</f>
        <v>0.21</v>
      </c>
      <c r="H23" s="41">
        <f>0.21</f>
        <v>0.21</v>
      </c>
      <c r="I23" s="41">
        <f>2.05</f>
        <v>2.0499999999999998</v>
      </c>
      <c r="J23" s="41">
        <f>33</f>
        <v>33</v>
      </c>
      <c r="K23" s="18" t="str">
        <f>"IN"</f>
        <v>IN</v>
      </c>
      <c r="L23" s="18" t="str">
        <f>"5705003090"</f>
        <v>5705003090</v>
      </c>
    </row>
    <row r="24" spans="2:12">
      <c r="B24" s="23" t="s">
        <v>583</v>
      </c>
      <c r="C24" s="18" t="str">
        <f>"Scent Eclectic Giftset"</f>
        <v>Scent Eclectic Giftset</v>
      </c>
      <c r="D24" s="43">
        <f>110</f>
        <v>110</v>
      </c>
      <c r="E24" s="19">
        <f>6</f>
        <v>6</v>
      </c>
      <c r="F24" s="18" t="str">
        <f>"5055998507289"</f>
        <v>5055998507289</v>
      </c>
      <c r="G24" s="41">
        <f>0.061</f>
        <v>6.0999999999999999E-2</v>
      </c>
      <c r="H24" s="41">
        <f>0.075</f>
        <v>7.4999999999999997E-2</v>
      </c>
      <c r="I24" s="41">
        <f>0.205</f>
        <v>0.20499999999999999</v>
      </c>
      <c r="J24" s="41">
        <f>0.5</f>
        <v>0.5</v>
      </c>
      <c r="K24" s="18" t="str">
        <f t="shared" ref="K24:K46" si="3">"GB"</f>
        <v>GB</v>
      </c>
      <c r="L24" s="18" t="str">
        <f>"3406000000"</f>
        <v>3406000000</v>
      </c>
    </row>
    <row r="25" spans="2:12">
      <c r="B25" s="23" t="s">
        <v>582</v>
      </c>
      <c r="C25" s="18" t="str">
        <f>"Oil Reed Diffuser 0.2L"</f>
        <v>Oil Reed Diffuser 0.2L</v>
      </c>
      <c r="D25" s="43">
        <f>90</f>
        <v>90</v>
      </c>
      <c r="E25" s="19">
        <f>6</f>
        <v>6</v>
      </c>
      <c r="F25" s="18" t="str">
        <f>"5055998500587"</f>
        <v>5055998500587</v>
      </c>
      <c r="G25" s="41">
        <f>0.223</f>
        <v>0.223</v>
      </c>
      <c r="H25" s="41">
        <f>0.188</f>
        <v>0.188</v>
      </c>
      <c r="I25" s="41">
        <f>0.14</f>
        <v>0.14000000000000001</v>
      </c>
      <c r="J25" s="41">
        <f>0.75</f>
        <v>0.75</v>
      </c>
      <c r="K25" s="18" t="str">
        <f t="shared" si="3"/>
        <v>GB</v>
      </c>
      <c r="L25" s="18" t="str">
        <f>"3307490000"</f>
        <v>3307490000</v>
      </c>
    </row>
    <row r="26" spans="2:12">
      <c r="B26" s="23" t="s">
        <v>581</v>
      </c>
      <c r="C26" s="18" t="str">
        <f>"Quartz Reed Diffuser 0.2L"</f>
        <v>Quartz Reed Diffuser 0.2L</v>
      </c>
      <c r="D26" s="43">
        <f>90</f>
        <v>90</v>
      </c>
      <c r="E26" s="19">
        <f>6</f>
        <v>6</v>
      </c>
      <c r="F26" s="18" t="str">
        <f>"5055998500624"</f>
        <v>5055998500624</v>
      </c>
      <c r="G26" s="41">
        <f>0.223</f>
        <v>0.223</v>
      </c>
      <c r="H26" s="41">
        <f>0.188</f>
        <v>0.188</v>
      </c>
      <c r="I26" s="41">
        <f>0.14</f>
        <v>0.14000000000000001</v>
      </c>
      <c r="J26" s="41">
        <f>0.75</f>
        <v>0.75</v>
      </c>
      <c r="K26" s="18" t="str">
        <f t="shared" si="3"/>
        <v>GB</v>
      </c>
      <c r="L26" s="18" t="str">
        <f>"3307490000"</f>
        <v>3307490000</v>
      </c>
    </row>
    <row r="27" spans="2:12">
      <c r="B27" s="23" t="s">
        <v>580</v>
      </c>
      <c r="C27" s="18" t="str">
        <f>"Scent Large Air "</f>
        <v xml:space="preserve">Scent Large Air </v>
      </c>
      <c r="D27" s="43">
        <f>190</f>
        <v>190</v>
      </c>
      <c r="E27" s="19">
        <f>2</f>
        <v>2</v>
      </c>
      <c r="F27" s="18" t="str">
        <f>"5060278451701"</f>
        <v>5060278451701</v>
      </c>
      <c r="G27" s="41">
        <f>0.27</f>
        <v>0.27</v>
      </c>
      <c r="H27" s="41">
        <f>0.183</f>
        <v>0.183</v>
      </c>
      <c r="I27" s="41">
        <f>0.183</f>
        <v>0.183</v>
      </c>
      <c r="J27" s="41">
        <f>4.78</f>
        <v>4.78</v>
      </c>
      <c r="K27" s="18" t="str">
        <f t="shared" si="3"/>
        <v>GB</v>
      </c>
      <c r="L27" s="18" t="str">
        <f>"3406000000"</f>
        <v>3406000000</v>
      </c>
    </row>
    <row r="28" spans="2:12">
      <c r="B28" s="23" t="s">
        <v>579</v>
      </c>
      <c r="C28" s="18" t="str">
        <f>"Scent Medium Air"</f>
        <v>Scent Medium Air</v>
      </c>
      <c r="D28" s="43">
        <f>110</f>
        <v>110</v>
      </c>
      <c r="E28" s="19">
        <f>6</f>
        <v>6</v>
      </c>
      <c r="F28" s="18" t="str">
        <f>"5060278451664"</f>
        <v>5060278451664</v>
      </c>
      <c r="G28" s="41">
        <f>0.157</f>
        <v>0.157</v>
      </c>
      <c r="H28" s="41">
        <f>0.11</f>
        <v>0.11</v>
      </c>
      <c r="I28" s="41">
        <f>0.11</f>
        <v>0.11</v>
      </c>
      <c r="J28" s="41">
        <f>1.2</f>
        <v>1.2</v>
      </c>
      <c r="K28" s="18" t="str">
        <f t="shared" si="3"/>
        <v>GB</v>
      </c>
      <c r="L28" s="18" t="str">
        <f>"3406000000"</f>
        <v>3406000000</v>
      </c>
    </row>
    <row r="29" spans="2:12">
      <c r="B29" s="23" t="s">
        <v>578</v>
      </c>
      <c r="C29" s="18" t="str">
        <f>"Scent Air Diffuser 0.2L"</f>
        <v>Scent Air Diffuser 0.2L</v>
      </c>
      <c r="D29" s="43">
        <f>130</f>
        <v>130</v>
      </c>
      <c r="E29" s="19">
        <f>6</f>
        <v>6</v>
      </c>
      <c r="F29" s="18" t="str">
        <f>"5060278451923"</f>
        <v>5060278451923</v>
      </c>
      <c r="G29" s="41">
        <f>0.125</f>
        <v>0.125</v>
      </c>
      <c r="H29" s="41">
        <f>0.19</f>
        <v>0.19</v>
      </c>
      <c r="I29" s="41">
        <f>0.19</f>
        <v>0.19</v>
      </c>
      <c r="J29" s="41">
        <f>1.2</f>
        <v>1.2</v>
      </c>
      <c r="K29" s="18" t="str">
        <f t="shared" si="3"/>
        <v>GB</v>
      </c>
      <c r="L29" s="18" t="str">
        <f>"3307490000"</f>
        <v>3307490000</v>
      </c>
    </row>
    <row r="30" spans="2:12">
      <c r="B30" s="23" t="s">
        <v>577</v>
      </c>
      <c r="C30" s="18" t="str">
        <f>"Scent Large Earth "</f>
        <v xml:space="preserve">Scent Large Earth </v>
      </c>
      <c r="D30" s="43">
        <f>190</f>
        <v>190</v>
      </c>
      <c r="E30" s="19">
        <f>2</f>
        <v>2</v>
      </c>
      <c r="F30" s="18" t="str">
        <f>"5060278451718"</f>
        <v>5060278451718</v>
      </c>
      <c r="G30" s="41">
        <f>0.27</f>
        <v>0.27</v>
      </c>
      <c r="H30" s="41">
        <f>0.183</f>
        <v>0.183</v>
      </c>
      <c r="I30" s="41">
        <f>0.183</f>
        <v>0.183</v>
      </c>
      <c r="J30" s="41">
        <f>4.78</f>
        <v>4.78</v>
      </c>
      <c r="K30" s="18" t="str">
        <f t="shared" si="3"/>
        <v>GB</v>
      </c>
      <c r="L30" s="18" t="str">
        <f>"3406000000"</f>
        <v>3406000000</v>
      </c>
    </row>
    <row r="31" spans="2:12">
      <c r="B31" s="23" t="s">
        <v>576</v>
      </c>
      <c r="C31" s="18" t="str">
        <f>"Scent Medium Earth "</f>
        <v xml:space="preserve">Scent Medium Earth </v>
      </c>
      <c r="D31" s="43">
        <f>110</f>
        <v>110</v>
      </c>
      <c r="E31" s="19">
        <f>6</f>
        <v>6</v>
      </c>
      <c r="F31" s="18" t="str">
        <f>"5060278451671"</f>
        <v>5060278451671</v>
      </c>
      <c r="G31" s="41">
        <f>0.157</f>
        <v>0.157</v>
      </c>
      <c r="H31" s="41">
        <f>0.11</f>
        <v>0.11</v>
      </c>
      <c r="I31" s="41">
        <f>0.11</f>
        <v>0.11</v>
      </c>
      <c r="J31" s="41">
        <f>1.2</f>
        <v>1.2</v>
      </c>
      <c r="K31" s="18" t="str">
        <f t="shared" si="3"/>
        <v>GB</v>
      </c>
      <c r="L31" s="18" t="str">
        <f>"3406000000"</f>
        <v>3406000000</v>
      </c>
    </row>
    <row r="32" spans="2:12">
      <c r="B32" s="23" t="s">
        <v>575</v>
      </c>
      <c r="C32" s="18" t="str">
        <f>"Scent Earth Diffuser 0.2L"</f>
        <v>Scent Earth Diffuser 0.2L</v>
      </c>
      <c r="D32" s="43">
        <f>130</f>
        <v>130</v>
      </c>
      <c r="E32" s="19">
        <f>6</f>
        <v>6</v>
      </c>
      <c r="F32" s="18" t="str">
        <f>"5060278451916"</f>
        <v>5060278451916</v>
      </c>
      <c r="G32" s="41">
        <f>0.125</f>
        <v>0.125</v>
      </c>
      <c r="H32" s="41">
        <f>0.19</f>
        <v>0.19</v>
      </c>
      <c r="I32" s="41">
        <f>0.19</f>
        <v>0.19</v>
      </c>
      <c r="J32" s="41">
        <f>1.2</f>
        <v>1.2</v>
      </c>
      <c r="K32" s="18" t="str">
        <f t="shared" si="3"/>
        <v>GB</v>
      </c>
      <c r="L32" s="18" t="str">
        <f>"3307490000"</f>
        <v>3307490000</v>
      </c>
    </row>
    <row r="33" spans="2:12">
      <c r="B33" s="23" t="s">
        <v>574</v>
      </c>
      <c r="C33" s="18" t="str">
        <f>"Scent Large Water "</f>
        <v xml:space="preserve">Scent Large Water </v>
      </c>
      <c r="D33" s="43">
        <f>190</f>
        <v>190</v>
      </c>
      <c r="E33" s="19">
        <f>2</f>
        <v>2</v>
      </c>
      <c r="F33" s="18" t="str">
        <f>"5060278451725"</f>
        <v>5060278451725</v>
      </c>
      <c r="G33" s="41">
        <f>0.27</f>
        <v>0.27</v>
      </c>
      <c r="H33" s="41">
        <f>0.183</f>
        <v>0.183</v>
      </c>
      <c r="I33" s="41">
        <f>0.183</f>
        <v>0.183</v>
      </c>
      <c r="J33" s="41">
        <f>4.78</f>
        <v>4.78</v>
      </c>
      <c r="K33" s="18" t="str">
        <f t="shared" si="3"/>
        <v>GB</v>
      </c>
      <c r="L33" s="18" t="str">
        <f>"3406000000"</f>
        <v>3406000000</v>
      </c>
    </row>
    <row r="34" spans="2:12">
      <c r="B34" s="23" t="s">
        <v>573</v>
      </c>
      <c r="C34" s="18" t="str">
        <f>"Scent Medium Water "</f>
        <v xml:space="preserve">Scent Medium Water </v>
      </c>
      <c r="D34" s="43">
        <f>110</f>
        <v>110</v>
      </c>
      <c r="E34" s="19">
        <f>6</f>
        <v>6</v>
      </c>
      <c r="F34" s="18" t="str">
        <f>"5060278451688"</f>
        <v>5060278451688</v>
      </c>
      <c r="G34" s="41">
        <f>0.157</f>
        <v>0.157</v>
      </c>
      <c r="H34" s="41">
        <f>0.11</f>
        <v>0.11</v>
      </c>
      <c r="I34" s="41">
        <f>0.11</f>
        <v>0.11</v>
      </c>
      <c r="J34" s="41">
        <f>1.2</f>
        <v>1.2</v>
      </c>
      <c r="K34" s="18" t="str">
        <f t="shared" si="3"/>
        <v>GB</v>
      </c>
      <c r="L34" s="18" t="str">
        <f>"3406000000"</f>
        <v>3406000000</v>
      </c>
    </row>
    <row r="35" spans="2:12">
      <c r="B35" s="23" t="s">
        <v>572</v>
      </c>
      <c r="C35" s="18" t="str">
        <f>"Scent Water Diffuser 0.2L"</f>
        <v>Scent Water Diffuser 0.2L</v>
      </c>
      <c r="D35" s="43">
        <f>130</f>
        <v>130</v>
      </c>
      <c r="E35" s="19">
        <f>6</f>
        <v>6</v>
      </c>
      <c r="F35" s="18" t="str">
        <f>"5060278451909"</f>
        <v>5060278451909</v>
      </c>
      <c r="G35" s="41">
        <f>0.125</f>
        <v>0.125</v>
      </c>
      <c r="H35" s="41">
        <f>0.19</f>
        <v>0.19</v>
      </c>
      <c r="I35" s="41">
        <f>0.19</f>
        <v>0.19</v>
      </c>
      <c r="J35" s="41">
        <f>3.5</f>
        <v>3.5</v>
      </c>
      <c r="K35" s="18" t="str">
        <f t="shared" si="3"/>
        <v>GB</v>
      </c>
      <c r="L35" s="18" t="str">
        <f>"3307490000"</f>
        <v>3307490000</v>
      </c>
    </row>
    <row r="36" spans="2:12">
      <c r="B36" s="23" t="s">
        <v>571</v>
      </c>
      <c r="C36" s="18" t="str">
        <f>"Scent Gift Set Elements"</f>
        <v>Scent Gift Set Elements</v>
      </c>
      <c r="D36" s="43">
        <f>150</f>
        <v>150</v>
      </c>
      <c r="E36" s="19">
        <f>6</f>
        <v>6</v>
      </c>
      <c r="F36" s="18" t="str">
        <f>"5060278451732"</f>
        <v>5060278451732</v>
      </c>
      <c r="G36" s="41">
        <f>0.07</f>
        <v>7.0000000000000007E-2</v>
      </c>
      <c r="H36" s="41">
        <f>0.33</f>
        <v>0.33</v>
      </c>
      <c r="I36" s="41">
        <f>0.087</f>
        <v>8.6999999999999994E-2</v>
      </c>
      <c r="J36" s="41">
        <f>1.2</f>
        <v>1.2</v>
      </c>
      <c r="K36" s="18" t="str">
        <f t="shared" si="3"/>
        <v>GB</v>
      </c>
      <c r="L36" s="18" t="str">
        <f>"3406000000"</f>
        <v>3406000000</v>
      </c>
    </row>
    <row r="37" spans="2:12">
      <c r="B37" s="23" t="s">
        <v>570</v>
      </c>
      <c r="C37" s="18" t="str">
        <f>"London Hand Balm 500ml"</f>
        <v>London Hand Balm 500ml</v>
      </c>
      <c r="D37" s="43">
        <f>60</f>
        <v>60</v>
      </c>
      <c r="E37" s="19">
        <f>6</f>
        <v>6</v>
      </c>
      <c r="F37" s="18" t="str">
        <f>"5055998507661"</f>
        <v>5055998507661</v>
      </c>
      <c r="G37" s="41">
        <f>0.17</f>
        <v>0.17</v>
      </c>
      <c r="H37" s="41">
        <f>0.075</f>
        <v>7.4999999999999997E-2</v>
      </c>
      <c r="I37" s="41">
        <f>0.075</f>
        <v>7.4999999999999997E-2</v>
      </c>
      <c r="J37" s="41">
        <f>0.5</f>
        <v>0.5</v>
      </c>
      <c r="K37" s="18" t="str">
        <f t="shared" si="3"/>
        <v>GB</v>
      </c>
      <c r="L37" s="18" t="str">
        <f>"3304990000"</f>
        <v>3304990000</v>
      </c>
    </row>
    <row r="38" spans="2:12">
      <c r="B38" s="23" t="s">
        <v>569</v>
      </c>
      <c r="C38" s="18" t="str">
        <f>"London Hand Duo 2x 500ml"</f>
        <v>London Hand Duo 2x 500ml</v>
      </c>
      <c r="D38" s="43">
        <f>90</f>
        <v>90</v>
      </c>
      <c r="E38" s="19">
        <f>6</f>
        <v>6</v>
      </c>
      <c r="F38" s="18" t="str">
        <f>"5055998507814"</f>
        <v>5055998507814</v>
      </c>
      <c r="G38" s="41">
        <f>0.18</f>
        <v>0.18</v>
      </c>
      <c r="H38" s="41">
        <f>0.16</f>
        <v>0.16</v>
      </c>
      <c r="I38" s="41">
        <f>0.08</f>
        <v>0.08</v>
      </c>
      <c r="J38" s="41">
        <f>1</f>
        <v>1</v>
      </c>
      <c r="K38" s="18" t="str">
        <f t="shared" si="3"/>
        <v>GB</v>
      </c>
      <c r="L38" s="18" t="str">
        <f>"3304990000"</f>
        <v>3304990000</v>
      </c>
    </row>
    <row r="39" spans="2:12">
      <c r="B39" s="23" t="s">
        <v>568</v>
      </c>
      <c r="C39" s="18" t="str">
        <f>"London Hand Wash 500ml"</f>
        <v>London Hand Wash 500ml</v>
      </c>
      <c r="D39" s="43">
        <f>40</f>
        <v>40</v>
      </c>
      <c r="E39" s="19">
        <f>6</f>
        <v>6</v>
      </c>
      <c r="F39" s="18" t="str">
        <f>"5055998507630"</f>
        <v>5055998507630</v>
      </c>
      <c r="G39" s="41">
        <f>0.17</f>
        <v>0.17</v>
      </c>
      <c r="H39" s="41">
        <f>0.075</f>
        <v>7.4999999999999997E-2</v>
      </c>
      <c r="I39" s="41">
        <f>0.075</f>
        <v>7.4999999999999997E-2</v>
      </c>
      <c r="J39" s="41">
        <f>0.5</f>
        <v>0.5</v>
      </c>
      <c r="K39" s="18" t="str">
        <f t="shared" si="3"/>
        <v>GB</v>
      </c>
      <c r="L39" s="18" t="str">
        <f>"3401300000"</f>
        <v>3401300000</v>
      </c>
    </row>
    <row r="40" spans="2:12">
      <c r="B40" s="23" t="s">
        <v>567</v>
      </c>
      <c r="C40" s="18" t="str">
        <f>"London Washing Up Liquid 1L"</f>
        <v>London Washing Up Liquid 1L</v>
      </c>
      <c r="D40" s="43">
        <f>20</f>
        <v>20</v>
      </c>
      <c r="E40" s="19">
        <f>6</f>
        <v>6</v>
      </c>
      <c r="F40" s="18" t="str">
        <f>"5055998507906"</f>
        <v>5055998507906</v>
      </c>
      <c r="G40" s="41">
        <f>0.235</f>
        <v>0.23499999999999999</v>
      </c>
      <c r="H40" s="41">
        <f>0.085</f>
        <v>8.5000000000000006E-2</v>
      </c>
      <c r="I40" s="41">
        <f>0.085</f>
        <v>8.5000000000000006E-2</v>
      </c>
      <c r="J40" s="41">
        <f>1</f>
        <v>1</v>
      </c>
      <c r="K40" s="18" t="str">
        <f t="shared" si="3"/>
        <v>GB</v>
      </c>
      <c r="L40" s="18" t="str">
        <f>"3401190000"</f>
        <v>3401190000</v>
      </c>
    </row>
    <row r="41" spans="2:12">
      <c r="B41" s="23" t="s">
        <v>566</v>
      </c>
      <c r="C41" s="18" t="str">
        <f>"Orient Hand Balm 500ml"</f>
        <v>Orient Hand Balm 500ml</v>
      </c>
      <c r="D41" s="43">
        <f>60</f>
        <v>60</v>
      </c>
      <c r="E41" s="19">
        <f>6</f>
        <v>6</v>
      </c>
      <c r="F41" s="18" t="str">
        <f>"5055998507722"</f>
        <v>5055998507722</v>
      </c>
      <c r="G41" s="41">
        <f>0.17</f>
        <v>0.17</v>
      </c>
      <c r="H41" s="41">
        <f>0.075</f>
        <v>7.4999999999999997E-2</v>
      </c>
      <c r="I41" s="41">
        <f>0.075</f>
        <v>7.4999999999999997E-2</v>
      </c>
      <c r="J41" s="41">
        <f>0.5</f>
        <v>0.5</v>
      </c>
      <c r="K41" s="18" t="str">
        <f t="shared" si="3"/>
        <v>GB</v>
      </c>
      <c r="L41" s="18" t="str">
        <f>"3304990000"</f>
        <v>3304990000</v>
      </c>
    </row>
    <row r="42" spans="2:12">
      <c r="B42" s="23" t="s">
        <v>565</v>
      </c>
      <c r="C42" s="18" t="str">
        <f>"Orient Hand Duo 2x 500ml"</f>
        <v>Orient Hand Duo 2x 500ml</v>
      </c>
      <c r="D42" s="43">
        <f>90</f>
        <v>90</v>
      </c>
      <c r="E42" s="19">
        <f>6</f>
        <v>6</v>
      </c>
      <c r="F42" s="18" t="str">
        <f>"5055998507845"</f>
        <v>5055998507845</v>
      </c>
      <c r="G42" s="41">
        <f>0.18</f>
        <v>0.18</v>
      </c>
      <c r="H42" s="41">
        <f>0.16</f>
        <v>0.16</v>
      </c>
      <c r="I42" s="41">
        <f>0.08</f>
        <v>0.08</v>
      </c>
      <c r="J42" s="41">
        <f>1</f>
        <v>1</v>
      </c>
      <c r="K42" s="18" t="str">
        <f t="shared" si="3"/>
        <v>GB</v>
      </c>
      <c r="L42" s="18" t="str">
        <f>"3304990000"</f>
        <v>3304990000</v>
      </c>
    </row>
    <row r="43" spans="2:12">
      <c r="B43" s="23" t="s">
        <v>564</v>
      </c>
      <c r="C43" s="18" t="str">
        <f>"Orient Hand Wash 500ml"</f>
        <v>Orient Hand Wash 500ml</v>
      </c>
      <c r="D43" s="43">
        <f>40</f>
        <v>40</v>
      </c>
      <c r="E43" s="19">
        <f>6</f>
        <v>6</v>
      </c>
      <c r="F43" s="18" t="str">
        <f>"5055998507692"</f>
        <v>5055998507692</v>
      </c>
      <c r="G43" s="41">
        <f>0.17</f>
        <v>0.17</v>
      </c>
      <c r="H43" s="41">
        <f>0.075</f>
        <v>7.4999999999999997E-2</v>
      </c>
      <c r="I43" s="41">
        <f>0.075</f>
        <v>7.4999999999999997E-2</v>
      </c>
      <c r="J43" s="41">
        <f>0.5</f>
        <v>0.5</v>
      </c>
      <c r="K43" s="18" t="str">
        <f t="shared" si="3"/>
        <v>GB</v>
      </c>
      <c r="L43" s="18" t="str">
        <f>"3401300000"</f>
        <v>3401300000</v>
      </c>
    </row>
    <row r="44" spans="2:12">
      <c r="B44" s="23" t="s">
        <v>563</v>
      </c>
      <c r="C44" s="18" t="str">
        <f>"Royalty Hand Balm 500ml"</f>
        <v>Royalty Hand Balm 500ml</v>
      </c>
      <c r="D44" s="43">
        <f>60</f>
        <v>60</v>
      </c>
      <c r="E44" s="19">
        <f>6</f>
        <v>6</v>
      </c>
      <c r="F44" s="18" t="str">
        <f>"5055998507784"</f>
        <v>5055998507784</v>
      </c>
      <c r="G44" s="41">
        <f>0.17</f>
        <v>0.17</v>
      </c>
      <c r="H44" s="41">
        <f>0.075</f>
        <v>7.4999999999999997E-2</v>
      </c>
      <c r="I44" s="41">
        <f>0.075</f>
        <v>7.4999999999999997E-2</v>
      </c>
      <c r="J44" s="41">
        <f>0.5</f>
        <v>0.5</v>
      </c>
      <c r="K44" s="18" t="str">
        <f t="shared" si="3"/>
        <v>GB</v>
      </c>
      <c r="L44" s="18" t="str">
        <f>"3304990000"</f>
        <v>3304990000</v>
      </c>
    </row>
    <row r="45" spans="2:12">
      <c r="B45" s="23" t="s">
        <v>562</v>
      </c>
      <c r="C45" s="18" t="str">
        <f>"Royalty Hand Duo 2x 500ml"</f>
        <v>Royalty Hand Duo 2x 500ml</v>
      </c>
      <c r="D45" s="43">
        <f>90</f>
        <v>90</v>
      </c>
      <c r="E45" s="19">
        <f>6</f>
        <v>6</v>
      </c>
      <c r="F45" s="18" t="str">
        <f>"5055998507876"</f>
        <v>5055998507876</v>
      </c>
      <c r="G45" s="41">
        <f>0.18</f>
        <v>0.18</v>
      </c>
      <c r="H45" s="41">
        <f>0.16</f>
        <v>0.16</v>
      </c>
      <c r="I45" s="41">
        <f>0.08</f>
        <v>0.08</v>
      </c>
      <c r="J45" s="41">
        <f>1</f>
        <v>1</v>
      </c>
      <c r="K45" s="18" t="str">
        <f t="shared" si="3"/>
        <v>GB</v>
      </c>
      <c r="L45" s="18" t="str">
        <f>"3304990000"</f>
        <v>3304990000</v>
      </c>
    </row>
    <row r="46" spans="2:12">
      <c r="B46" s="23" t="s">
        <v>561</v>
      </c>
      <c r="C46" s="18" t="str">
        <f>"Royalty Hand Wash 500ml"</f>
        <v>Royalty Hand Wash 500ml</v>
      </c>
      <c r="D46" s="43">
        <f>40</f>
        <v>40</v>
      </c>
      <c r="E46" s="19">
        <f>6</f>
        <v>6</v>
      </c>
      <c r="F46" s="18" t="str">
        <f>"5055998507753"</f>
        <v>5055998507753</v>
      </c>
      <c r="G46" s="41">
        <f>0.17</f>
        <v>0.17</v>
      </c>
      <c r="H46" s="41">
        <f>0.075</f>
        <v>7.4999999999999997E-2</v>
      </c>
      <c r="I46" s="41">
        <f>0.075</f>
        <v>7.4999999999999997E-2</v>
      </c>
      <c r="J46" s="41">
        <f>0.5</f>
        <v>0.5</v>
      </c>
      <c r="K46" s="18" t="str">
        <f t="shared" si="3"/>
        <v>GB</v>
      </c>
      <c r="L46" s="18" t="str">
        <f>"3401300000"</f>
        <v>3401300000</v>
      </c>
    </row>
    <row r="47" spans="2:12">
      <c r="B47" s="23" t="s">
        <v>560</v>
      </c>
      <c r="C47" s="18" t="str">
        <f>"Beat Vessel Drop Brass"</f>
        <v>Beat Vessel Drop Brass</v>
      </c>
      <c r="D47" s="43">
        <f>1100</f>
        <v>1100</v>
      </c>
      <c r="E47" s="19">
        <f>1</f>
        <v>1</v>
      </c>
      <c r="F47" s="18" t="str">
        <f>"5055998508774"</f>
        <v>5055998508774</v>
      </c>
      <c r="G47" s="41">
        <f>1.05</f>
        <v>1.05</v>
      </c>
      <c r="H47" s="41">
        <f>0.67</f>
        <v>0.67</v>
      </c>
      <c r="I47" s="41">
        <f>0.67</f>
        <v>0.67</v>
      </c>
      <c r="J47" s="41">
        <f>22</f>
        <v>22</v>
      </c>
      <c r="K47" s="18" t="str">
        <f t="shared" ref="K47:K52" si="4">"IN"</f>
        <v>IN</v>
      </c>
      <c r="L47" s="18" t="str">
        <f t="shared" ref="L47:L60" si="5">"8306290000"</f>
        <v>8306290000</v>
      </c>
    </row>
    <row r="48" spans="2:12">
      <c r="B48" s="23" t="s">
        <v>559</v>
      </c>
      <c r="C48" s="18" t="str">
        <f>"Beat Vessel Tall Brass"</f>
        <v>Beat Vessel Tall Brass</v>
      </c>
      <c r="D48" s="43">
        <f>850</f>
        <v>850</v>
      </c>
      <c r="E48" s="19">
        <f>1</f>
        <v>1</v>
      </c>
      <c r="F48" s="18" t="str">
        <f>"5055998508767"</f>
        <v>5055998508767</v>
      </c>
      <c r="G48" s="41">
        <f>1.2</f>
        <v>1.2</v>
      </c>
      <c r="H48" s="41">
        <f>0.35</f>
        <v>0.35</v>
      </c>
      <c r="I48" s="41">
        <f>0.35</f>
        <v>0.35</v>
      </c>
      <c r="J48" s="41">
        <f>10</f>
        <v>10</v>
      </c>
      <c r="K48" s="18" t="str">
        <f t="shared" si="4"/>
        <v>IN</v>
      </c>
      <c r="L48" s="18" t="str">
        <f t="shared" si="5"/>
        <v>8306290000</v>
      </c>
    </row>
    <row r="49" spans="2:12">
      <c r="B49" s="23" t="s">
        <v>558</v>
      </c>
      <c r="C49" s="18" t="str">
        <f>"Beat Vessel Top Brass"</f>
        <v>Beat Vessel Top Brass</v>
      </c>
      <c r="D49" s="43">
        <f>900</f>
        <v>900</v>
      </c>
      <c r="E49" s="19">
        <f>1</f>
        <v>1</v>
      </c>
      <c r="F49" s="18" t="str">
        <f>"5055998508781"</f>
        <v>5055998508781</v>
      </c>
      <c r="G49" s="41">
        <f>0.88</f>
        <v>0.88</v>
      </c>
      <c r="H49" s="41">
        <f>0.53</f>
        <v>0.53</v>
      </c>
      <c r="I49" s="41">
        <f>0.53</f>
        <v>0.53</v>
      </c>
      <c r="J49" s="41">
        <f>10.5</f>
        <v>10.5</v>
      </c>
      <c r="K49" s="18" t="str">
        <f t="shared" si="4"/>
        <v>IN</v>
      </c>
      <c r="L49" s="18" t="str">
        <f t="shared" si="5"/>
        <v>8306290000</v>
      </c>
    </row>
    <row r="50" spans="2:12">
      <c r="B50" s="23" t="s">
        <v>557</v>
      </c>
      <c r="C50" s="18" t="str">
        <f>"Bone Bowl Extra Large Brass"</f>
        <v>Bone Bowl Extra Large Brass</v>
      </c>
      <c r="D50" s="43">
        <f>780</f>
        <v>780</v>
      </c>
      <c r="E50" s="19">
        <f>1</f>
        <v>1</v>
      </c>
      <c r="F50" s="18" t="str">
        <f>"5055998508804"</f>
        <v>5055998508804</v>
      </c>
      <c r="G50" s="41">
        <f>0.28</f>
        <v>0.28000000000000003</v>
      </c>
      <c r="H50" s="41">
        <f>0.61</f>
        <v>0.61</v>
      </c>
      <c r="I50" s="41">
        <f>0.67</f>
        <v>0.67</v>
      </c>
      <c r="J50" s="41">
        <f>11.5</f>
        <v>11.5</v>
      </c>
      <c r="K50" s="18" t="str">
        <f t="shared" si="4"/>
        <v>IN</v>
      </c>
      <c r="L50" s="18" t="str">
        <f t="shared" si="5"/>
        <v>8306290000</v>
      </c>
    </row>
    <row r="51" spans="2:12">
      <c r="B51" s="23" t="s">
        <v>556</v>
      </c>
      <c r="C51" s="18" t="str">
        <f>"Bone Bowl Large Brass"</f>
        <v>Bone Bowl Large Brass</v>
      </c>
      <c r="D51" s="43">
        <f>260</f>
        <v>260</v>
      </c>
      <c r="E51" s="19">
        <f>2</f>
        <v>2</v>
      </c>
      <c r="F51" s="18" t="str">
        <f>"5060278451008"</f>
        <v>5060278451008</v>
      </c>
      <c r="G51" s="41">
        <f>0.4</f>
        <v>0.4</v>
      </c>
      <c r="H51" s="41">
        <f>0.42</f>
        <v>0.42</v>
      </c>
      <c r="I51" s="41">
        <f>0.18</f>
        <v>0.18</v>
      </c>
      <c r="J51" s="41">
        <f>2.09</f>
        <v>2.09</v>
      </c>
      <c r="K51" s="18" t="str">
        <f t="shared" si="4"/>
        <v>IN</v>
      </c>
      <c r="L51" s="18" t="str">
        <f t="shared" si="5"/>
        <v>8306290000</v>
      </c>
    </row>
    <row r="52" spans="2:12">
      <c r="B52" s="23" t="s">
        <v>555</v>
      </c>
      <c r="C52" s="18" t="str">
        <f>"Bone Bowl Small Brass"</f>
        <v>Bone Bowl Small Brass</v>
      </c>
      <c r="D52" s="43">
        <f>130</f>
        <v>130</v>
      </c>
      <c r="E52" s="19">
        <f>8</f>
        <v>8</v>
      </c>
      <c r="F52" s="18" t="str">
        <f>"5055998508798"</f>
        <v>5055998508798</v>
      </c>
      <c r="G52" s="41">
        <f>0.1</f>
        <v>0.1</v>
      </c>
      <c r="H52" s="41">
        <f>0.25</f>
        <v>0.25</v>
      </c>
      <c r="I52" s="41">
        <f>0.25</f>
        <v>0.25</v>
      </c>
      <c r="J52" s="41">
        <f>1</f>
        <v>1</v>
      </c>
      <c r="K52" s="18" t="str">
        <f t="shared" si="4"/>
        <v>IN</v>
      </c>
      <c r="L52" s="18" t="str">
        <f t="shared" si="5"/>
        <v>8306290000</v>
      </c>
    </row>
    <row r="53" spans="2:12">
      <c r="B53" s="23" t="s">
        <v>554</v>
      </c>
      <c r="C53" s="18" t="str">
        <f>"Etch Tea Light Holder Blk-Dot"</f>
        <v>Etch Tea Light Holder Blk-Dot</v>
      </c>
      <c r="D53" s="43">
        <f>50</f>
        <v>50</v>
      </c>
      <c r="E53" s="19">
        <f>10</f>
        <v>10</v>
      </c>
      <c r="F53" s="18" t="str">
        <f>"5060278452227"</f>
        <v>5060278452227</v>
      </c>
      <c r="G53" s="41">
        <f>0.13</f>
        <v>0.13</v>
      </c>
      <c r="H53" s="41">
        <f>0.175</f>
        <v>0.17499999999999999</v>
      </c>
      <c r="I53" s="41">
        <f>0.152</f>
        <v>0.152</v>
      </c>
      <c r="J53" s="41">
        <f>0.2</f>
        <v>0.2</v>
      </c>
      <c r="K53" s="18" t="str">
        <f>"CN"</f>
        <v>CN</v>
      </c>
      <c r="L53" s="18" t="str">
        <f t="shared" si="5"/>
        <v>8306290000</v>
      </c>
    </row>
    <row r="54" spans="2:12">
      <c r="B54" s="23" t="s">
        <v>553</v>
      </c>
      <c r="C54" s="18" t="str">
        <f>"Etch Tea Light Holder BR-Dot"</f>
        <v>Etch Tea Light Holder BR-Dot</v>
      </c>
      <c r="D54" s="43">
        <f>50</f>
        <v>50</v>
      </c>
      <c r="E54" s="19">
        <f>10</f>
        <v>10</v>
      </c>
      <c r="F54" s="18" t="str">
        <f>"5060441500076"</f>
        <v>5060441500076</v>
      </c>
      <c r="G54" s="41">
        <f>0.13</f>
        <v>0.13</v>
      </c>
      <c r="H54" s="41">
        <f>0.175</f>
        <v>0.17499999999999999</v>
      </c>
      <c r="I54" s="41">
        <f>0.152</f>
        <v>0.152</v>
      </c>
      <c r="J54" s="41">
        <f>0.2</f>
        <v>0.2</v>
      </c>
      <c r="K54" s="18" t="str">
        <f>"CN"</f>
        <v>CN</v>
      </c>
      <c r="L54" s="18" t="str">
        <f t="shared" si="5"/>
        <v>8306290000</v>
      </c>
    </row>
    <row r="55" spans="2:12">
      <c r="B55" s="23" t="s">
        <v>552</v>
      </c>
      <c r="C55" s="18" t="str">
        <f>"Etch Tea Light Holder CP-Dot"</f>
        <v>Etch Tea Light Holder CP-Dot</v>
      </c>
      <c r="D55" s="43">
        <f>50</f>
        <v>50</v>
      </c>
      <c r="E55" s="19">
        <f>10</f>
        <v>10</v>
      </c>
      <c r="F55" s="18" t="str">
        <f>""</f>
        <v/>
      </c>
      <c r="G55" s="41">
        <f>0.13</f>
        <v>0.13</v>
      </c>
      <c r="H55" s="41">
        <f>0.175</f>
        <v>0.17499999999999999</v>
      </c>
      <c r="I55" s="41">
        <f>0.152</f>
        <v>0.152</v>
      </c>
      <c r="J55" s="41">
        <f>0.2</f>
        <v>0.2</v>
      </c>
      <c r="K55" s="18" t="str">
        <f>"CN"</f>
        <v>CN</v>
      </c>
      <c r="L55" s="18" t="str">
        <f t="shared" si="5"/>
        <v>8306290000</v>
      </c>
    </row>
    <row r="56" spans="2:12">
      <c r="B56" s="23" t="s">
        <v>551</v>
      </c>
      <c r="C56" s="18" t="str">
        <f>"Etch Tea Light Holder SS-Dot"</f>
        <v>Etch Tea Light Holder SS-Dot</v>
      </c>
      <c r="D56" s="43">
        <f>50</f>
        <v>50</v>
      </c>
      <c r="E56" s="19">
        <f>10</f>
        <v>10</v>
      </c>
      <c r="F56" s="18" t="str">
        <f>""</f>
        <v/>
      </c>
      <c r="G56" s="41">
        <f>0.13</f>
        <v>0.13</v>
      </c>
      <c r="H56" s="41">
        <f>0.175</f>
        <v>0.17499999999999999</v>
      </c>
      <c r="I56" s="41">
        <f>0.152</f>
        <v>0.152</v>
      </c>
      <c r="J56" s="41">
        <f>0.2</f>
        <v>0.2</v>
      </c>
      <c r="K56" s="18" t="str">
        <f>"CN"</f>
        <v>CN</v>
      </c>
      <c r="L56" s="18" t="str">
        <f t="shared" si="5"/>
        <v>8306290000</v>
      </c>
    </row>
    <row r="57" spans="2:12">
      <c r="B57" s="23" t="s">
        <v>550</v>
      </c>
      <c r="C57" s="18" t="str">
        <f>"Tank Vase Stem"</f>
        <v>Tank Vase Stem</v>
      </c>
      <c r="D57" s="43">
        <f>130</f>
        <v>130</v>
      </c>
      <c r="E57" s="19">
        <f>4</f>
        <v>4</v>
      </c>
      <c r="F57" s="18" t="str">
        <f>"5060278452258"</f>
        <v>5060278452258</v>
      </c>
      <c r="G57" s="41">
        <f>0.31</f>
        <v>0.31</v>
      </c>
      <c r="H57" s="41">
        <f>0.12</f>
        <v>0.12</v>
      </c>
      <c r="I57" s="41">
        <f>0.12</f>
        <v>0.12</v>
      </c>
      <c r="J57" s="41">
        <f>0.4</f>
        <v>0.4</v>
      </c>
      <c r="K57" s="18" t="str">
        <f>"PL"</f>
        <v>PL</v>
      </c>
      <c r="L57" s="18" t="str">
        <f t="shared" si="5"/>
        <v>8306290000</v>
      </c>
    </row>
    <row r="58" spans="2:12">
      <c r="B58" s="23" t="s">
        <v>549</v>
      </c>
      <c r="C58" s="18" t="str">
        <f>"Tank Vase Medium"</f>
        <v>Tank Vase Medium</v>
      </c>
      <c r="D58" s="43">
        <f>120</f>
        <v>120</v>
      </c>
      <c r="E58" s="19">
        <f>4</f>
        <v>4</v>
      </c>
      <c r="F58" s="18" t="str">
        <f>"5060278452265"</f>
        <v>5060278452265</v>
      </c>
      <c r="G58" s="41">
        <f>0.23</f>
        <v>0.23</v>
      </c>
      <c r="H58" s="41">
        <f>0.15</f>
        <v>0.15</v>
      </c>
      <c r="I58" s="41">
        <f>0.15</f>
        <v>0.15</v>
      </c>
      <c r="J58" s="41">
        <f>1.5</f>
        <v>1.5</v>
      </c>
      <c r="K58" s="18" t="str">
        <f>"PL"</f>
        <v>PL</v>
      </c>
      <c r="L58" s="18" t="str">
        <f t="shared" si="5"/>
        <v>8306290000</v>
      </c>
    </row>
    <row r="59" spans="2:12">
      <c r="B59" s="23" t="s">
        <v>548</v>
      </c>
      <c r="C59" s="18" t="str">
        <f>"Tank Vase Large"</f>
        <v>Tank Vase Large</v>
      </c>
      <c r="D59" s="43">
        <f>200</f>
        <v>200</v>
      </c>
      <c r="E59" s="19">
        <v>1</v>
      </c>
      <c r="F59" s="18" t="str">
        <f>"5056194500289"</f>
        <v>5056194500289</v>
      </c>
      <c r="G59" s="41">
        <f>0.37</f>
        <v>0.37</v>
      </c>
      <c r="H59" s="41">
        <f>0.37</f>
        <v>0.37</v>
      </c>
      <c r="I59" s="41">
        <f>0.47</f>
        <v>0.47</v>
      </c>
      <c r="J59" s="41">
        <f>4</f>
        <v>4</v>
      </c>
      <c r="K59" s="18" t="str">
        <f>"PL"</f>
        <v>PL</v>
      </c>
      <c r="L59" s="18" t="str">
        <f t="shared" si="5"/>
        <v>8306290000</v>
      </c>
    </row>
    <row r="60" spans="2:12">
      <c r="B60" s="23" t="s">
        <v>547</v>
      </c>
      <c r="C60" s="18" t="str">
        <f>"Stone Tea Light Holder Brass"</f>
        <v>Stone Tea Light Holder Brass</v>
      </c>
      <c r="D60" s="43">
        <f>65</f>
        <v>65</v>
      </c>
      <c r="E60" s="19">
        <f>6</f>
        <v>6</v>
      </c>
      <c r="F60" s="18" t="str">
        <f>"5055998500662"</f>
        <v>5055998500662</v>
      </c>
      <c r="G60" s="41">
        <f>0.07</f>
        <v>7.0000000000000007E-2</v>
      </c>
      <c r="H60" s="41">
        <f>0.13</f>
        <v>0.13</v>
      </c>
      <c r="I60" s="41">
        <f>0.13</f>
        <v>0.13</v>
      </c>
      <c r="J60" s="41">
        <f>0.6</f>
        <v>0.6</v>
      </c>
      <c r="K60" s="18" t="str">
        <f>"IN"</f>
        <v>IN</v>
      </c>
      <c r="L60" s="18" t="str">
        <f t="shared" si="5"/>
        <v>8306290000</v>
      </c>
    </row>
    <row r="61" spans="2:12">
      <c r="B61" s="23" t="s">
        <v>546</v>
      </c>
      <c r="C61" s="18" t="str">
        <f>"Spin Table Candelabra"</f>
        <v>Spin Table Candelabra</v>
      </c>
      <c r="D61" s="43">
        <f>600</f>
        <v>600</v>
      </c>
      <c r="E61" s="19">
        <v>1</v>
      </c>
      <c r="F61" s="18" t="str">
        <f>"5060278452449"</f>
        <v>5060278452449</v>
      </c>
      <c r="G61" s="41">
        <f>0.33</f>
        <v>0.33</v>
      </c>
      <c r="H61" s="41">
        <f>0.8</f>
        <v>0.8</v>
      </c>
      <c r="I61" s="41">
        <f>0.28</f>
        <v>0.28000000000000003</v>
      </c>
      <c r="J61" s="41">
        <f>11.6</f>
        <v>11.6</v>
      </c>
      <c r="K61" s="18" t="str">
        <f>"GB"</f>
        <v>GB</v>
      </c>
      <c r="L61" s="18" t="str">
        <f>"9403901090"</f>
        <v>9403901090</v>
      </c>
    </row>
    <row r="62" spans="2:12">
      <c r="B62" s="23" t="s">
        <v>545</v>
      </c>
      <c r="C62" s="18" t="str">
        <f>"Form Jug"</f>
        <v>Form Jug</v>
      </c>
      <c r="D62" s="43">
        <f>130</f>
        <v>130</v>
      </c>
      <c r="E62" s="19">
        <f>2</f>
        <v>2</v>
      </c>
      <c r="F62" s="18" t="str">
        <f>"5060278450469"</f>
        <v>5060278450469</v>
      </c>
      <c r="G62" s="41">
        <f>0.24</f>
        <v>0.24</v>
      </c>
      <c r="H62" s="41">
        <f>0.09</f>
        <v>0.09</v>
      </c>
      <c r="I62" s="41">
        <f>0.23</f>
        <v>0.23</v>
      </c>
      <c r="J62" s="41">
        <f>0.64</f>
        <v>0.64</v>
      </c>
      <c r="K62" s="18" t="str">
        <f>"IN"</f>
        <v>IN</v>
      </c>
      <c r="L62" s="18" t="str">
        <f>"7418109090"</f>
        <v>7418109090</v>
      </c>
    </row>
    <row r="63" spans="2:12">
      <c r="B63" s="23" t="s">
        <v>544</v>
      </c>
      <c r="C63" s="18" t="str">
        <f>"Form Milk Jug"</f>
        <v>Form Milk Jug</v>
      </c>
      <c r="D63" s="43">
        <f>60</f>
        <v>60</v>
      </c>
      <c r="E63" s="19">
        <f>4</f>
        <v>4</v>
      </c>
      <c r="F63" s="18" t="str">
        <f>"5060278450476"</f>
        <v>5060278450476</v>
      </c>
      <c r="G63" s="41">
        <f>0.09</f>
        <v>0.09</v>
      </c>
      <c r="H63" s="41">
        <f>0.075</f>
        <v>7.4999999999999997E-2</v>
      </c>
      <c r="I63" s="41">
        <f>0.085</f>
        <v>8.5000000000000006E-2</v>
      </c>
      <c r="J63" s="41">
        <f>0.225</f>
        <v>0.22500000000000001</v>
      </c>
      <c r="K63" s="18" t="str">
        <f>"IN"</f>
        <v>IN</v>
      </c>
      <c r="L63" s="18" t="str">
        <f>"7418109090"</f>
        <v>7418109090</v>
      </c>
    </row>
    <row r="64" spans="2:12">
      <c r="B64" s="23" t="s">
        <v>543</v>
      </c>
      <c r="C64" s="18" t="str">
        <f>"Form Sugar Dish And Spoon"</f>
        <v>Form Sugar Dish And Spoon</v>
      </c>
      <c r="D64" s="43">
        <f>70</f>
        <v>70</v>
      </c>
      <c r="E64" s="19">
        <f>4</f>
        <v>4</v>
      </c>
      <c r="F64" s="18" t="str">
        <f>"5060278450452"</f>
        <v>5060278450452</v>
      </c>
      <c r="G64" s="41">
        <f>0.08</f>
        <v>0.08</v>
      </c>
      <c r="H64" s="41">
        <f>0.04</f>
        <v>0.04</v>
      </c>
      <c r="I64" s="41">
        <f>0.12</f>
        <v>0.12</v>
      </c>
      <c r="J64" s="41">
        <f>0.2</f>
        <v>0.2</v>
      </c>
      <c r="K64" s="18" t="str">
        <f>"IN"</f>
        <v>IN</v>
      </c>
      <c r="L64" s="18" t="str">
        <f>"7418109090"</f>
        <v>7418109090</v>
      </c>
    </row>
    <row r="65" spans="2:12">
      <c r="B65" s="23" t="s">
        <v>542</v>
      </c>
      <c r="C65" s="18" t="str">
        <f>"Form Tea Pot "</f>
        <v xml:space="preserve">Form Tea Pot </v>
      </c>
      <c r="D65" s="43">
        <f>180</f>
        <v>180</v>
      </c>
      <c r="E65" s="19">
        <f>2</f>
        <v>2</v>
      </c>
      <c r="F65" s="18" t="str">
        <f>"5060278450438"</f>
        <v>5060278450438</v>
      </c>
      <c r="G65" s="41">
        <f>0.13</f>
        <v>0.13</v>
      </c>
      <c r="H65" s="41">
        <f>0.265</f>
        <v>0.26500000000000001</v>
      </c>
      <c r="I65" s="41">
        <f>0.105</f>
        <v>0.105</v>
      </c>
      <c r="J65" s="41">
        <f>0.869</f>
        <v>0.86899999999999999</v>
      </c>
      <c r="K65" s="18" t="str">
        <f>"IN"</f>
        <v>IN</v>
      </c>
      <c r="L65" s="18" t="str">
        <f>"7418109090"</f>
        <v>7418109090</v>
      </c>
    </row>
    <row r="66" spans="2:12">
      <c r="B66" s="23" t="s">
        <v>541</v>
      </c>
      <c r="C66" s="18" t="str">
        <f>"Form Tray Square"</f>
        <v>Form Tray Square</v>
      </c>
      <c r="D66" s="43">
        <f>170</f>
        <v>170</v>
      </c>
      <c r="E66" s="19">
        <f>4</f>
        <v>4</v>
      </c>
      <c r="F66" s="18" t="str">
        <f>"5060278450421"</f>
        <v>5060278450421</v>
      </c>
      <c r="G66" s="41">
        <f>0.03</f>
        <v>0.03</v>
      </c>
      <c r="H66" s="41">
        <f>0.49</f>
        <v>0.49</v>
      </c>
      <c r="I66" s="41">
        <f>0.49</f>
        <v>0.49</v>
      </c>
      <c r="J66" s="41">
        <f>2.1</f>
        <v>2.1</v>
      </c>
      <c r="K66" s="18" t="str">
        <f>"IN"</f>
        <v>IN</v>
      </c>
      <c r="L66" s="18" t="str">
        <f>"7418109090"</f>
        <v>7418109090</v>
      </c>
    </row>
    <row r="67" spans="2:12">
      <c r="B67" s="23" t="s">
        <v>540</v>
      </c>
      <c r="C67" s="18" t="str">
        <f>"Etch The Clipper"</f>
        <v>Etch The Clipper</v>
      </c>
      <c r="D67" s="43">
        <f>20</f>
        <v>20</v>
      </c>
      <c r="E67" s="19">
        <f>12</f>
        <v>12</v>
      </c>
      <c r="F67" s="18" t="str">
        <f>"5060278450957"</f>
        <v>5060278450957</v>
      </c>
      <c r="G67" s="41">
        <f t="shared" ref="G67:I69" si="6">0.06</f>
        <v>0.06</v>
      </c>
      <c r="H67" s="41">
        <f t="shared" si="6"/>
        <v>0.06</v>
      </c>
      <c r="I67" s="41">
        <f t="shared" si="6"/>
        <v>0.06</v>
      </c>
      <c r="J67" s="41">
        <f>0.01</f>
        <v>0.01</v>
      </c>
      <c r="K67" s="18" t="str">
        <f t="shared" ref="K67:K73" si="7">"CN"</f>
        <v>CN</v>
      </c>
      <c r="L67" s="18" t="str">
        <f>"8306290000"</f>
        <v>8306290000</v>
      </c>
    </row>
    <row r="68" spans="2:12">
      <c r="B68" s="23" t="s">
        <v>539</v>
      </c>
      <c r="C68" s="18" t="str">
        <f>"Etch The Clipper Bob"</f>
        <v>Etch The Clipper Bob</v>
      </c>
      <c r="D68" s="43">
        <f>20</f>
        <v>20</v>
      </c>
      <c r="E68" s="19">
        <f>12</f>
        <v>12</v>
      </c>
      <c r="F68" s="18" t="str">
        <f>"5055998501119"</f>
        <v>5055998501119</v>
      </c>
      <c r="G68" s="41">
        <f t="shared" si="6"/>
        <v>0.06</v>
      </c>
      <c r="H68" s="41">
        <f t="shared" si="6"/>
        <v>0.06</v>
      </c>
      <c r="I68" s="41">
        <f t="shared" si="6"/>
        <v>0.06</v>
      </c>
      <c r="J68" s="41">
        <f>0.01</f>
        <v>0.01</v>
      </c>
      <c r="K68" s="18" t="str">
        <f t="shared" si="7"/>
        <v>CN</v>
      </c>
      <c r="L68" s="18" t="str">
        <f>"8306290000"</f>
        <v>8306290000</v>
      </c>
    </row>
    <row r="69" spans="2:12">
      <c r="B69" s="23" t="s">
        <v>538</v>
      </c>
      <c r="C69" s="18" t="str">
        <f>"Etch The Clipper Poly"</f>
        <v>Etch The Clipper Poly</v>
      </c>
      <c r="D69" s="43">
        <f>20</f>
        <v>20</v>
      </c>
      <c r="E69" s="19">
        <f>12</f>
        <v>12</v>
      </c>
      <c r="F69" s="18" t="str">
        <f>"5055998501126"</f>
        <v>5055998501126</v>
      </c>
      <c r="G69" s="41">
        <f t="shared" si="6"/>
        <v>0.06</v>
      </c>
      <c r="H69" s="41">
        <f t="shared" si="6"/>
        <v>0.06</v>
      </c>
      <c r="I69" s="41">
        <f t="shared" si="6"/>
        <v>0.06</v>
      </c>
      <c r="J69" s="41">
        <f>0.01</f>
        <v>0.01</v>
      </c>
      <c r="K69" s="18" t="str">
        <f t="shared" si="7"/>
        <v>CN</v>
      </c>
      <c r="L69" s="18" t="str">
        <f>"7323930090"</f>
        <v>7323930090</v>
      </c>
    </row>
    <row r="70" spans="2:12">
      <c r="B70" s="23" t="s">
        <v>537</v>
      </c>
      <c r="C70" s="18" t="str">
        <f>"Brew Cafetiere Copper"</f>
        <v>Brew Cafetiere Copper</v>
      </c>
      <c r="D70" s="43">
        <f>170</f>
        <v>170</v>
      </c>
      <c r="E70" s="19">
        <f>4</f>
        <v>4</v>
      </c>
      <c r="F70" s="18" t="str">
        <f>"5055998500174"</f>
        <v>5055998500174</v>
      </c>
      <c r="G70" s="41">
        <f>0.245</f>
        <v>0.245</v>
      </c>
      <c r="H70" s="41">
        <f>0.145</f>
        <v>0.14499999999999999</v>
      </c>
      <c r="I70" s="41">
        <f>0.145</f>
        <v>0.14499999999999999</v>
      </c>
      <c r="J70" s="41">
        <f>1.368</f>
        <v>1.3680000000000001</v>
      </c>
      <c r="K70" s="18" t="str">
        <f t="shared" si="7"/>
        <v>CN</v>
      </c>
      <c r="L70" s="18" t="str">
        <f>"7323990090"</f>
        <v>7323990090</v>
      </c>
    </row>
    <row r="71" spans="2:12">
      <c r="B71" s="23" t="s">
        <v>536</v>
      </c>
      <c r="C71" s="18" t="str">
        <f>"Brew Stove Top Coffee Maker"</f>
        <v>Brew Stove Top Coffee Maker</v>
      </c>
      <c r="D71" s="43">
        <f>170</f>
        <v>170</v>
      </c>
      <c r="E71" s="19">
        <f>4</f>
        <v>4</v>
      </c>
      <c r="F71" s="18" t="str">
        <f>"5055998500167"</f>
        <v>5055998500167</v>
      </c>
      <c r="G71" s="41">
        <f>0.21</f>
        <v>0.21</v>
      </c>
      <c r="H71" s="41">
        <f>0.15</f>
        <v>0.15</v>
      </c>
      <c r="I71" s="41">
        <f>0.125</f>
        <v>0.125</v>
      </c>
      <c r="J71" s="41">
        <f>1.106</f>
        <v>1.1060000000000001</v>
      </c>
      <c r="K71" s="18" t="str">
        <f t="shared" si="7"/>
        <v>CN</v>
      </c>
      <c r="L71" s="18" t="str">
        <f>"7323990090"</f>
        <v>7323990090</v>
      </c>
    </row>
    <row r="72" spans="2:12">
      <c r="B72" s="23" t="s">
        <v>535</v>
      </c>
      <c r="C72" s="18" t="str">
        <f>"Brew Espresso Cups x4"</f>
        <v>Brew Espresso Cups x4</v>
      </c>
      <c r="D72" s="43">
        <f>110</f>
        <v>110</v>
      </c>
      <c r="E72" s="19">
        <f>16</f>
        <v>16</v>
      </c>
      <c r="F72" s="18" t="str">
        <f>"5060278452401"</f>
        <v>5060278452401</v>
      </c>
      <c r="G72" s="41">
        <f>0.065</f>
        <v>6.5000000000000002E-2</v>
      </c>
      <c r="H72" s="41">
        <f>0.155</f>
        <v>0.155</v>
      </c>
      <c r="I72" s="41">
        <f>0.155</f>
        <v>0.155</v>
      </c>
      <c r="J72" s="41">
        <f>0.588</f>
        <v>0.58799999999999997</v>
      </c>
      <c r="K72" s="18" t="str">
        <f t="shared" si="7"/>
        <v>CN</v>
      </c>
      <c r="L72" s="18" t="str">
        <f>"7323990090"</f>
        <v>7323990090</v>
      </c>
    </row>
    <row r="73" spans="2:12">
      <c r="B73" s="23" t="s">
        <v>534</v>
      </c>
      <c r="C73" s="18" t="str">
        <f>"Brew Milk Pan Copper"</f>
        <v>Brew Milk Pan Copper</v>
      </c>
      <c r="D73" s="43">
        <f>95</f>
        <v>95</v>
      </c>
      <c r="E73" s="19">
        <f>4</f>
        <v>4</v>
      </c>
      <c r="F73" s="18" t="str">
        <f>"5055998500181"</f>
        <v>5055998500181</v>
      </c>
      <c r="G73" s="41">
        <f>0.085</f>
        <v>8.5000000000000006E-2</v>
      </c>
      <c r="H73" s="41">
        <f>0.15</f>
        <v>0.15</v>
      </c>
      <c r="I73" s="41">
        <f>0.27</f>
        <v>0.27</v>
      </c>
      <c r="J73" s="41">
        <f>0.732</f>
        <v>0.73199999999999998</v>
      </c>
      <c r="K73" s="18" t="str">
        <f t="shared" si="7"/>
        <v>CN</v>
      </c>
      <c r="L73" s="18" t="str">
        <f>"7323990090"</f>
        <v>7323990090</v>
      </c>
    </row>
    <row r="74" spans="2:12">
      <c r="B74" s="23" t="s">
        <v>533</v>
      </c>
      <c r="C74" s="18" t="str">
        <f>"Plum Ice Bucket Glass Copper"</f>
        <v>Plum Ice Bucket Glass Copper</v>
      </c>
      <c r="D74" s="43">
        <f>235</f>
        <v>235</v>
      </c>
      <c r="E74" s="19">
        <f>4</f>
        <v>4</v>
      </c>
      <c r="F74" s="18" t="str">
        <f>"5060278451343"</f>
        <v>5060278451343</v>
      </c>
      <c r="G74" s="41">
        <f>0.285</f>
        <v>0.28499999999999998</v>
      </c>
      <c r="H74" s="41">
        <f>0.115</f>
        <v>0.115</v>
      </c>
      <c r="I74" s="41">
        <f>0.235</f>
        <v>0.23499999999999999</v>
      </c>
      <c r="J74" s="41">
        <f>0.441</f>
        <v>0.441</v>
      </c>
      <c r="K74" s="18" t="str">
        <f>"PL"</f>
        <v>PL</v>
      </c>
      <c r="L74" s="18" t="str">
        <f>"7013499100"</f>
        <v>7013499100</v>
      </c>
    </row>
    <row r="75" spans="2:12">
      <c r="B75" s="23" t="s">
        <v>532</v>
      </c>
      <c r="C75" s="18" t="str">
        <f>"Plum Wine Cooler"</f>
        <v>Plum Wine Cooler</v>
      </c>
      <c r="D75" s="43">
        <f>180</f>
        <v>180</v>
      </c>
      <c r="E75" s="19">
        <f>2</f>
        <v>2</v>
      </c>
      <c r="F75" s="18" t="str">
        <f>"5055998500310"</f>
        <v>5055998500310</v>
      </c>
      <c r="G75" s="41">
        <f>0.2</f>
        <v>0.2</v>
      </c>
      <c r="H75" s="41">
        <f>0.205</f>
        <v>0.20499999999999999</v>
      </c>
      <c r="I75" s="41">
        <f>0.165</f>
        <v>0.16500000000000001</v>
      </c>
      <c r="J75" s="41">
        <f>1.36</f>
        <v>1.36</v>
      </c>
      <c r="K75" s="18" t="str">
        <f>"IN"</f>
        <v>IN</v>
      </c>
      <c r="L75" s="18" t="str">
        <f>"7013499100"</f>
        <v>7013499100</v>
      </c>
    </row>
    <row r="76" spans="2:12">
      <c r="B76" s="23" t="s">
        <v>531</v>
      </c>
      <c r="C76" s="18" t="str">
        <f>"Tank Low Ball Glasses x2"</f>
        <v>Tank Low Ball Glasses x2</v>
      </c>
      <c r="D76" s="43">
        <f>70</f>
        <v>70</v>
      </c>
      <c r="E76" s="19">
        <f>6</f>
        <v>6</v>
      </c>
      <c r="F76" s="18" t="str">
        <f>"5060278451961"</f>
        <v>5060278451961</v>
      </c>
      <c r="G76" s="41">
        <f>0.09</f>
        <v>0.09</v>
      </c>
      <c r="H76" s="41">
        <f>0.18</f>
        <v>0.18</v>
      </c>
      <c r="I76" s="41">
        <f>0.12</f>
        <v>0.12</v>
      </c>
      <c r="J76" s="41">
        <f>1</f>
        <v>1</v>
      </c>
      <c r="K76" s="18" t="str">
        <f t="shared" ref="K76:K83" si="8">"PL"</f>
        <v>PL</v>
      </c>
      <c r="L76" s="18" t="str">
        <f>"7013375100"</f>
        <v>7013375100</v>
      </c>
    </row>
    <row r="77" spans="2:12">
      <c r="B77" s="23" t="s">
        <v>530</v>
      </c>
      <c r="C77" s="18" t="str">
        <f>"Tank High Ball Glasses x2"</f>
        <v>Tank High Ball Glasses x2</v>
      </c>
      <c r="D77" s="43">
        <f>80</f>
        <v>80</v>
      </c>
      <c r="E77" s="19">
        <f>6</f>
        <v>6</v>
      </c>
      <c r="F77" s="18" t="str">
        <f>"5060278451978"</f>
        <v>5060278451978</v>
      </c>
      <c r="G77" s="41">
        <f>0.1</f>
        <v>0.1</v>
      </c>
      <c r="H77" s="41">
        <f>0.16</f>
        <v>0.16</v>
      </c>
      <c r="I77" s="41">
        <f>0.17</f>
        <v>0.17</v>
      </c>
      <c r="J77" s="41">
        <f>1</f>
        <v>1</v>
      </c>
      <c r="K77" s="18" t="str">
        <f t="shared" si="8"/>
        <v>PL</v>
      </c>
      <c r="L77" s="18" t="str">
        <f>"7013375100"</f>
        <v>7013375100</v>
      </c>
    </row>
    <row r="78" spans="2:12">
      <c r="B78" s="23" t="s">
        <v>529</v>
      </c>
      <c r="C78" s="18" t="str">
        <f>"Tank Champagne Glasses x2"</f>
        <v>Tank Champagne Glasses x2</v>
      </c>
      <c r="D78" s="43">
        <f>90</f>
        <v>90</v>
      </c>
      <c r="E78" s="19">
        <f>6</f>
        <v>6</v>
      </c>
      <c r="F78" s="18" t="str">
        <f>"5055998500532"</f>
        <v>5055998500532</v>
      </c>
      <c r="G78" s="41">
        <f>0.08</f>
        <v>0.08</v>
      </c>
      <c r="H78" s="41">
        <f>0.14</f>
        <v>0.14000000000000001</v>
      </c>
      <c r="I78" s="41">
        <f>0.24</f>
        <v>0.24</v>
      </c>
      <c r="J78" s="41">
        <f>1</f>
        <v>1</v>
      </c>
      <c r="K78" s="18" t="str">
        <f t="shared" si="8"/>
        <v>PL</v>
      </c>
      <c r="L78" s="18" t="str">
        <f>"7013375100"</f>
        <v>7013375100</v>
      </c>
    </row>
    <row r="79" spans="2:12">
      <c r="B79" s="23" t="s">
        <v>528</v>
      </c>
      <c r="C79" s="18" t="str">
        <f>"Tank Wine Glasses x2"</f>
        <v>Tank Wine Glasses x2</v>
      </c>
      <c r="D79" s="43">
        <f>90</f>
        <v>90</v>
      </c>
      <c r="E79" s="19">
        <f>6</f>
        <v>6</v>
      </c>
      <c r="F79" s="18" t="str">
        <f>"5055998500549"</f>
        <v>5055998500549</v>
      </c>
      <c r="G79" s="41">
        <f>0.19</f>
        <v>0.19</v>
      </c>
      <c r="H79" s="41">
        <f>0.2</f>
        <v>0.2</v>
      </c>
      <c r="I79" s="41">
        <f>0.2</f>
        <v>0.2</v>
      </c>
      <c r="J79" s="41">
        <f>0.9</f>
        <v>0.9</v>
      </c>
      <c r="K79" s="18" t="str">
        <f t="shared" si="8"/>
        <v>PL</v>
      </c>
      <c r="L79" s="18" t="str">
        <f>"7013375100"</f>
        <v>7013375100</v>
      </c>
    </row>
    <row r="80" spans="2:12">
      <c r="B80" s="23" t="s">
        <v>527</v>
      </c>
      <c r="C80" s="18" t="str">
        <f>"Tank Jug"</f>
        <v>Tank Jug</v>
      </c>
      <c r="D80" s="43">
        <f>120</f>
        <v>120</v>
      </c>
      <c r="E80" s="19">
        <f>2</f>
        <v>2</v>
      </c>
      <c r="F80" s="18" t="str">
        <f>"5060278451992"</f>
        <v>5060278451992</v>
      </c>
      <c r="G80" s="41">
        <f>0.16</f>
        <v>0.16</v>
      </c>
      <c r="H80" s="41">
        <f>0.16</f>
        <v>0.16</v>
      </c>
      <c r="I80" s="41">
        <f>0.38</f>
        <v>0.38</v>
      </c>
      <c r="J80" s="41">
        <f>1.2</f>
        <v>1.2</v>
      </c>
      <c r="K80" s="18" t="str">
        <f t="shared" si="8"/>
        <v>PL</v>
      </c>
      <c r="L80" s="18" t="str">
        <f>"7013499100"</f>
        <v>7013499100</v>
      </c>
    </row>
    <row r="81" spans="2:12">
      <c r="B81" s="23" t="s">
        <v>526</v>
      </c>
      <c r="C81" s="18" t="str">
        <f>"Tank Whiskey Decanter"</f>
        <v>Tank Whiskey Decanter</v>
      </c>
      <c r="D81" s="43">
        <f>100</f>
        <v>100</v>
      </c>
      <c r="E81" s="19">
        <f>2</f>
        <v>2</v>
      </c>
      <c r="F81" s="18" t="str">
        <f>"5055998503755"</f>
        <v>5055998503755</v>
      </c>
      <c r="G81" s="41">
        <f>0.3</f>
        <v>0.3</v>
      </c>
      <c r="H81" s="41">
        <f>0.15</f>
        <v>0.15</v>
      </c>
      <c r="I81" s="41">
        <f>0.15</f>
        <v>0.15</v>
      </c>
      <c r="J81" s="41">
        <f>1</f>
        <v>1</v>
      </c>
      <c r="K81" s="18" t="str">
        <f t="shared" si="8"/>
        <v>PL</v>
      </c>
      <c r="L81" s="18" t="str">
        <f>"7013375100"</f>
        <v>7013375100</v>
      </c>
    </row>
    <row r="82" spans="2:12">
      <c r="B82" s="23" t="s">
        <v>525</v>
      </c>
      <c r="C82" s="18" t="str">
        <f>"Tank Whiskey Glass X2"</f>
        <v>Tank Whiskey Glass X2</v>
      </c>
      <c r="D82" s="43">
        <f>60</f>
        <v>60</v>
      </c>
      <c r="E82" s="19">
        <f>6</f>
        <v>6</v>
      </c>
      <c r="F82" s="18" t="str">
        <f>"5055998503762"</f>
        <v>5055998503762</v>
      </c>
      <c r="G82" s="41">
        <f>0.11</f>
        <v>0.11</v>
      </c>
      <c r="H82" s="41">
        <f>0.2</f>
        <v>0.2</v>
      </c>
      <c r="I82" s="41">
        <f>0.1</f>
        <v>0.1</v>
      </c>
      <c r="J82" s="41">
        <f>0.6</f>
        <v>0.6</v>
      </c>
      <c r="K82" s="18" t="str">
        <f t="shared" si="8"/>
        <v>PL</v>
      </c>
      <c r="L82" s="18" t="str">
        <f>"7013375100"</f>
        <v>7013375100</v>
      </c>
    </row>
    <row r="83" spans="2:12">
      <c r="B83" s="23" t="s">
        <v>524</v>
      </c>
      <c r="C83" s="18" t="str">
        <f>"Tank Beer Glass X2"</f>
        <v>Tank Beer Glass X2</v>
      </c>
      <c r="D83" s="43">
        <f>80</f>
        <v>80</v>
      </c>
      <c r="E83" s="19">
        <f>6</f>
        <v>6</v>
      </c>
      <c r="F83" s="18" t="str">
        <f>"5055998503748"</f>
        <v>5055998503748</v>
      </c>
      <c r="G83" s="41">
        <f>0.11</f>
        <v>0.11</v>
      </c>
      <c r="H83" s="41">
        <f>0.2</f>
        <v>0.2</v>
      </c>
      <c r="I83" s="41">
        <f>0.2</f>
        <v>0.2</v>
      </c>
      <c r="J83" s="41">
        <f>0.6</f>
        <v>0.6</v>
      </c>
      <c r="K83" s="18" t="str">
        <f t="shared" si="8"/>
        <v>PL</v>
      </c>
      <c r="L83" s="18" t="str">
        <f>"7013375100"</f>
        <v>7013375100</v>
      </c>
    </row>
    <row r="84" spans="2:12">
      <c r="B84" s="23" t="s">
        <v>523</v>
      </c>
      <c r="C84" s="18" t="str">
        <f>"Stone Spice Grinder "</f>
        <v xml:space="preserve">Stone Spice Grinder </v>
      </c>
      <c r="D84" s="43">
        <f>90</f>
        <v>90</v>
      </c>
      <c r="E84" s="19">
        <f>4</f>
        <v>4</v>
      </c>
      <c r="F84" s="18" t="str">
        <f>"5060278450391"</f>
        <v>5060278450391</v>
      </c>
      <c r="G84" s="41">
        <f>0.142</f>
        <v>0.14199999999999999</v>
      </c>
      <c r="H84" s="41">
        <f>0.175</f>
        <v>0.17499999999999999</v>
      </c>
      <c r="I84" s="41">
        <f>0.175</f>
        <v>0.17499999999999999</v>
      </c>
      <c r="J84" s="41">
        <f>2</f>
        <v>2</v>
      </c>
      <c r="K84" s="18" t="str">
        <f>"IN"</f>
        <v>IN</v>
      </c>
      <c r="L84" s="18" t="str">
        <f>"6912002390"</f>
        <v>6912002390</v>
      </c>
    </row>
    <row r="85" spans="2:12">
      <c r="B85" s="23" t="s">
        <v>522</v>
      </c>
      <c r="C85" s="18" t="str">
        <f>"Stone Pestle And Mortar"</f>
        <v>Stone Pestle And Mortar</v>
      </c>
      <c r="D85" s="43">
        <f>165</f>
        <v>165</v>
      </c>
      <c r="E85" s="19">
        <f>1</f>
        <v>1</v>
      </c>
      <c r="F85" s="18" t="str">
        <f>"5060278450407"</f>
        <v>5060278450407</v>
      </c>
      <c r="G85" s="41">
        <f>0.21</f>
        <v>0.21</v>
      </c>
      <c r="H85" s="41">
        <f>0.4</f>
        <v>0.4</v>
      </c>
      <c r="I85" s="41">
        <f>0.29</f>
        <v>0.28999999999999998</v>
      </c>
      <c r="J85" s="41">
        <f>11.5</f>
        <v>11.5</v>
      </c>
      <c r="K85" s="18" t="str">
        <f>"IN"</f>
        <v>IN</v>
      </c>
      <c r="L85" s="18" t="str">
        <f>"6912002390"</f>
        <v>6912002390</v>
      </c>
    </row>
    <row r="86" spans="2:12">
      <c r="B86" s="23" t="s">
        <v>521</v>
      </c>
      <c r="C86" s="18" t="str">
        <f>"Stone Serving Board"</f>
        <v>Stone Serving Board</v>
      </c>
      <c r="D86" s="43">
        <f>75</f>
        <v>75</v>
      </c>
      <c r="E86" s="19">
        <f>4</f>
        <v>4</v>
      </c>
      <c r="F86" s="18" t="str">
        <f>"5055998500334"</f>
        <v>5055998500334</v>
      </c>
      <c r="G86" s="41">
        <f>0.085</f>
        <v>8.5000000000000006E-2</v>
      </c>
      <c r="H86" s="41">
        <f>0.35</f>
        <v>0.35</v>
      </c>
      <c r="I86" s="41">
        <f>0.23</f>
        <v>0.23</v>
      </c>
      <c r="J86" s="41">
        <f>1.8</f>
        <v>1.8</v>
      </c>
      <c r="K86" s="18" t="str">
        <f>"IN"</f>
        <v>IN</v>
      </c>
      <c r="L86" s="18" t="str">
        <f>"6912002390"</f>
        <v>6912002390</v>
      </c>
    </row>
    <row r="87" spans="2:12">
      <c r="B87" s="23" t="s">
        <v>520</v>
      </c>
      <c r="C87" s="18" t="str">
        <f>"Stone Chopping Board "</f>
        <v xml:space="preserve">Stone Chopping Board </v>
      </c>
      <c r="D87" s="43">
        <f>90</f>
        <v>90</v>
      </c>
      <c r="E87" s="19">
        <f>4</f>
        <v>4</v>
      </c>
      <c r="F87" s="18" t="str">
        <f>"5060278450414"</f>
        <v>5060278450414</v>
      </c>
      <c r="G87" s="41">
        <f>0.06</f>
        <v>0.06</v>
      </c>
      <c r="H87" s="41">
        <f>0.2</f>
        <v>0.2</v>
      </c>
      <c r="I87" s="41">
        <f>0.42</f>
        <v>0.42</v>
      </c>
      <c r="J87" s="41">
        <f>2</f>
        <v>2</v>
      </c>
      <c r="K87" s="18" t="str">
        <f>"IN"</f>
        <v>IN</v>
      </c>
      <c r="L87" s="18" t="str">
        <f>"6912002390"</f>
        <v>6912002390</v>
      </c>
    </row>
    <row r="88" spans="2:12">
      <c r="B88" s="23" t="s">
        <v>519</v>
      </c>
      <c r="C88" s="18" t="str">
        <f>"Tool The Bookworm Hand"</f>
        <v>Tool The Bookworm Hand</v>
      </c>
      <c r="D88" s="43">
        <f>20</f>
        <v>20</v>
      </c>
      <c r="E88" s="19">
        <f>12</f>
        <v>12</v>
      </c>
      <c r="F88" s="18" t="str">
        <f>"5060278450896"</f>
        <v>5060278450896</v>
      </c>
      <c r="G88" s="41">
        <f>0</f>
        <v>0</v>
      </c>
      <c r="H88" s="41">
        <f>0.08</f>
        <v>0.08</v>
      </c>
      <c r="I88" s="41">
        <f>0.19</f>
        <v>0.19</v>
      </c>
      <c r="J88" s="41">
        <f>0.05</f>
        <v>0.05</v>
      </c>
      <c r="K88" s="18" t="str">
        <f t="shared" ref="K88:K101" si="9">"CN"</f>
        <v>CN</v>
      </c>
      <c r="L88" s="18" t="str">
        <f>"8306290000"</f>
        <v>8306290000</v>
      </c>
    </row>
    <row r="89" spans="2:12">
      <c r="B89" s="23" t="s">
        <v>518</v>
      </c>
      <c r="C89" s="18" t="str">
        <f>"Tool The Bookworm Quill"</f>
        <v>Tool The Bookworm Quill</v>
      </c>
      <c r="D89" s="43">
        <f>20</f>
        <v>20</v>
      </c>
      <c r="E89" s="19">
        <f>12</f>
        <v>12</v>
      </c>
      <c r="F89" s="18" t="str">
        <f>"5060278450889"</f>
        <v>5060278450889</v>
      </c>
      <c r="G89" s="41">
        <f>0</f>
        <v>0</v>
      </c>
      <c r="H89" s="41">
        <f>0.08</f>
        <v>0.08</v>
      </c>
      <c r="I89" s="41">
        <f>0.19</f>
        <v>0.19</v>
      </c>
      <c r="J89" s="41">
        <f>0.05</f>
        <v>0.05</v>
      </c>
      <c r="K89" s="18" t="str">
        <f t="shared" si="9"/>
        <v>CN</v>
      </c>
      <c r="L89" s="18" t="str">
        <f>"8306290000"</f>
        <v>8306290000</v>
      </c>
    </row>
    <row r="90" spans="2:12">
      <c r="B90" s="23" t="s">
        <v>517</v>
      </c>
      <c r="C90" s="18" t="str">
        <f>"Tool The Bookworm Dandelion"</f>
        <v>Tool The Bookworm Dandelion</v>
      </c>
      <c r="D90" s="43">
        <f>20</f>
        <v>20</v>
      </c>
      <c r="E90" s="19">
        <f>12</f>
        <v>12</v>
      </c>
      <c r="F90" s="18" t="str">
        <f>"5060278451879"</f>
        <v>5060278451879</v>
      </c>
      <c r="G90" s="41">
        <f>0</f>
        <v>0</v>
      </c>
      <c r="H90" s="41">
        <f>0.13</f>
        <v>0.13</v>
      </c>
      <c r="I90" s="41">
        <f>0.19</f>
        <v>0.19</v>
      </c>
      <c r="J90" s="41">
        <f>0.05</f>
        <v>0.05</v>
      </c>
      <c r="K90" s="18" t="str">
        <f t="shared" si="9"/>
        <v>CN</v>
      </c>
      <c r="L90" s="18" t="str">
        <f>"8306290000"</f>
        <v>8306290000</v>
      </c>
    </row>
    <row r="91" spans="2:12">
      <c r="B91" s="23" t="s">
        <v>516</v>
      </c>
      <c r="C91" s="18" t="str">
        <f>"Cube Stapler"</f>
        <v>Cube Stapler</v>
      </c>
      <c r="D91" s="43">
        <f>60</f>
        <v>60</v>
      </c>
      <c r="E91" s="19">
        <f>4</f>
        <v>4</v>
      </c>
      <c r="F91" s="18" t="str">
        <f>"5060278452104"</f>
        <v>5060278452104</v>
      </c>
      <c r="G91" s="41">
        <f>0.07</f>
        <v>7.0000000000000007E-2</v>
      </c>
      <c r="H91" s="41">
        <f>0.04</f>
        <v>0.04</v>
      </c>
      <c r="I91" s="41">
        <f>0.14</f>
        <v>0.14000000000000001</v>
      </c>
      <c r="J91" s="41">
        <f>0.6</f>
        <v>0.6</v>
      </c>
      <c r="K91" s="18" t="str">
        <f t="shared" si="9"/>
        <v>CN</v>
      </c>
      <c r="L91" s="18" t="str">
        <f>"8304000000"</f>
        <v>8304000000</v>
      </c>
    </row>
    <row r="92" spans="2:12">
      <c r="B92" s="23" t="s">
        <v>515</v>
      </c>
      <c r="C92" s="18" t="str">
        <f>"CubeTape Dispenser"</f>
        <v>CubeTape Dispenser</v>
      </c>
      <c r="D92" s="43">
        <f>80</f>
        <v>80</v>
      </c>
      <c r="E92" s="19">
        <f>4</f>
        <v>4</v>
      </c>
      <c r="F92" s="18" t="str">
        <f>"5060278452111"</f>
        <v>5060278452111</v>
      </c>
      <c r="G92" s="41">
        <f>0.1</f>
        <v>0.1</v>
      </c>
      <c r="H92" s="41">
        <f>0.06</f>
        <v>0.06</v>
      </c>
      <c r="I92" s="41">
        <f>0.18</f>
        <v>0.18</v>
      </c>
      <c r="J92" s="41">
        <f>0.7</f>
        <v>0.7</v>
      </c>
      <c r="K92" s="18" t="str">
        <f t="shared" si="9"/>
        <v>CN</v>
      </c>
      <c r="L92" s="18" t="str">
        <f>"8304000000"</f>
        <v>8304000000</v>
      </c>
    </row>
    <row r="93" spans="2:12">
      <c r="B93" s="23" t="s">
        <v>514</v>
      </c>
      <c r="C93" s="18" t="str">
        <f>"Cube Pen"</f>
        <v>Cube Pen</v>
      </c>
      <c r="D93" s="43">
        <f>53</f>
        <v>53</v>
      </c>
      <c r="E93" s="19">
        <f>10</f>
        <v>10</v>
      </c>
      <c r="F93" s="18" t="str">
        <f>"5060278452098"</f>
        <v>5060278452098</v>
      </c>
      <c r="G93" s="41">
        <f>0.16</f>
        <v>0.16</v>
      </c>
      <c r="H93" s="41">
        <f>0.02</f>
        <v>0.02</v>
      </c>
      <c r="I93" s="41">
        <f>0.02</f>
        <v>0.02</v>
      </c>
      <c r="J93" s="41">
        <f>0.3</f>
        <v>0.3</v>
      </c>
      <c r="K93" s="18" t="str">
        <f t="shared" si="9"/>
        <v>CN</v>
      </c>
      <c r="L93" s="18" t="str">
        <f>"9608109200"</f>
        <v>9608109200</v>
      </c>
    </row>
    <row r="94" spans="2:12">
      <c r="B94" s="23" t="s">
        <v>513</v>
      </c>
      <c r="C94" s="18" t="str">
        <f>"Bump Jug"</f>
        <v>Bump Jug</v>
      </c>
      <c r="D94" s="43">
        <f>110</f>
        <v>110</v>
      </c>
      <c r="E94" s="19">
        <f>4</f>
        <v>4</v>
      </c>
      <c r="F94" s="18" t="str">
        <f>"5055998503168"</f>
        <v>5055998503168</v>
      </c>
      <c r="G94" s="41">
        <f>0.16</f>
        <v>0.16</v>
      </c>
      <c r="H94" s="41">
        <f>0.24</f>
        <v>0.24</v>
      </c>
      <c r="I94" s="41">
        <f>0.2</f>
        <v>0.2</v>
      </c>
      <c r="J94" s="41">
        <f>0.5</f>
        <v>0.5</v>
      </c>
      <c r="K94" s="18" t="str">
        <f t="shared" si="9"/>
        <v>CN</v>
      </c>
      <c r="L94" s="18" t="str">
        <f>"7013339100"</f>
        <v>7013339100</v>
      </c>
    </row>
    <row r="95" spans="2:12">
      <c r="B95" s="23" t="s">
        <v>512</v>
      </c>
      <c r="C95" s="18" t="str">
        <f>"Bump Short Glass x 2"</f>
        <v>Bump Short Glass x 2</v>
      </c>
      <c r="D95" s="43">
        <f>60</f>
        <v>60</v>
      </c>
      <c r="E95" s="19">
        <f>4</f>
        <v>4</v>
      </c>
      <c r="F95" s="18" t="str">
        <f>"5055998503243"</f>
        <v>5055998503243</v>
      </c>
      <c r="G95" s="41">
        <f>0.12</f>
        <v>0.12</v>
      </c>
      <c r="H95" s="41">
        <f>0.12</f>
        <v>0.12</v>
      </c>
      <c r="I95" s="41">
        <f>0.22</f>
        <v>0.22</v>
      </c>
      <c r="J95" s="41">
        <f>0.5</f>
        <v>0.5</v>
      </c>
      <c r="K95" s="18" t="str">
        <f t="shared" si="9"/>
        <v>CN</v>
      </c>
      <c r="L95" s="18" t="str">
        <f>"7013339100"</f>
        <v>7013339100</v>
      </c>
    </row>
    <row r="96" spans="2:12">
      <c r="B96" s="23" t="s">
        <v>511</v>
      </c>
      <c r="C96" s="18" t="str">
        <f>"Bump Tall Glass x 2"</f>
        <v>Bump Tall Glass x 2</v>
      </c>
      <c r="D96" s="43">
        <f>70</f>
        <v>70</v>
      </c>
      <c r="E96" s="19">
        <f>4</f>
        <v>4</v>
      </c>
      <c r="F96" s="18" t="str">
        <f>"5055998503205"</f>
        <v>5055998503205</v>
      </c>
      <c r="G96" s="41">
        <f>0.16</f>
        <v>0.16</v>
      </c>
      <c r="H96" s="41">
        <f>0.11</f>
        <v>0.11</v>
      </c>
      <c r="I96" s="41">
        <f>0.23</f>
        <v>0.23</v>
      </c>
      <c r="J96" s="41">
        <f>0.5</f>
        <v>0.5</v>
      </c>
      <c r="K96" s="18" t="str">
        <f t="shared" si="9"/>
        <v>CN</v>
      </c>
      <c r="L96" s="18" t="str">
        <f>"7013339100"</f>
        <v>7013339100</v>
      </c>
    </row>
    <row r="97" spans="2:12">
      <c r="B97" s="23" t="s">
        <v>510</v>
      </c>
      <c r="C97" s="18" t="str">
        <f>"Bump Tea Cup Set x 2"</f>
        <v>Bump Tea Cup Set x 2</v>
      </c>
      <c r="D97" s="43">
        <f>130</f>
        <v>130</v>
      </c>
      <c r="E97" s="19">
        <f>4</f>
        <v>4</v>
      </c>
      <c r="F97" s="18" t="str">
        <f>"5055998503328"</f>
        <v>5055998503328</v>
      </c>
      <c r="G97" s="41">
        <f>0.1</f>
        <v>0.1</v>
      </c>
      <c r="H97" s="41">
        <f>0.14</f>
        <v>0.14000000000000001</v>
      </c>
      <c r="I97" s="41">
        <f>0.24</f>
        <v>0.24</v>
      </c>
      <c r="J97" s="41">
        <f>0.54</f>
        <v>0.54</v>
      </c>
      <c r="K97" s="18" t="str">
        <f t="shared" si="9"/>
        <v>CN</v>
      </c>
      <c r="L97" s="18" t="str">
        <f>"7013339100"</f>
        <v>7013339100</v>
      </c>
    </row>
    <row r="98" spans="2:12">
      <c r="B98" s="23" t="s">
        <v>509</v>
      </c>
      <c r="C98" s="18" t="str">
        <f>"Bump Tea Pot"</f>
        <v>Bump Tea Pot</v>
      </c>
      <c r="D98" s="43">
        <f>140</f>
        <v>140</v>
      </c>
      <c r="E98" s="19">
        <f>2</f>
        <v>2</v>
      </c>
      <c r="F98" s="18" t="str">
        <f>"5055998503281"</f>
        <v>5055998503281</v>
      </c>
      <c r="G98" s="41">
        <f>0.34</f>
        <v>0.34</v>
      </c>
      <c r="H98" s="41">
        <f>0.2</f>
        <v>0.2</v>
      </c>
      <c r="I98" s="41">
        <f>0.25</f>
        <v>0.25</v>
      </c>
      <c r="J98" s="41">
        <f>1.8</f>
        <v>1.8</v>
      </c>
      <c r="K98" s="18" t="str">
        <f t="shared" si="9"/>
        <v>CN</v>
      </c>
      <c r="L98" s="18" t="str">
        <f>"7013339100"</f>
        <v>7013339100</v>
      </c>
    </row>
    <row r="99" spans="2:12">
      <c r="B99" s="23" t="s">
        <v>508</v>
      </c>
      <c r="C99" s="18" t="str">
        <f>"Brew Coffee Caddy"</f>
        <v>Brew Coffee Caddy</v>
      </c>
      <c r="D99" s="43">
        <f>110</f>
        <v>110</v>
      </c>
      <c r="E99" s="19">
        <f>4</f>
        <v>4</v>
      </c>
      <c r="F99" s="18" t="str">
        <f>"5060278452418"</f>
        <v>5060278452418</v>
      </c>
      <c r="G99" s="41">
        <f>0.23</f>
        <v>0.23</v>
      </c>
      <c r="H99" s="41">
        <f>0.11</f>
        <v>0.11</v>
      </c>
      <c r="I99" s="41">
        <f>0.11</f>
        <v>0.11</v>
      </c>
      <c r="J99" s="41">
        <f>0.65</f>
        <v>0.65</v>
      </c>
      <c r="K99" s="18" t="str">
        <f t="shared" si="9"/>
        <v>CN</v>
      </c>
      <c r="L99" s="18" t="str">
        <f>"7323990090"</f>
        <v>7323990090</v>
      </c>
    </row>
    <row r="100" spans="2:12">
      <c r="B100" s="23" t="s">
        <v>507</v>
      </c>
      <c r="C100" s="18" t="str">
        <f>"Brew Coffee Scoop"</f>
        <v>Brew Coffee Scoop</v>
      </c>
      <c r="D100" s="43">
        <f>42</f>
        <v>42</v>
      </c>
      <c r="E100" s="19">
        <f>6</f>
        <v>6</v>
      </c>
      <c r="F100" s="18" t="str">
        <f>"5060278452425"</f>
        <v>5060278452425</v>
      </c>
      <c r="G100" s="41">
        <f>0.05</f>
        <v>0.05</v>
      </c>
      <c r="H100" s="41">
        <f>0.095</f>
        <v>9.5000000000000001E-2</v>
      </c>
      <c r="I100" s="41">
        <f>0.225</f>
        <v>0.22500000000000001</v>
      </c>
      <c r="J100" s="41">
        <f>0.247</f>
        <v>0.247</v>
      </c>
      <c r="K100" s="18" t="str">
        <f t="shared" si="9"/>
        <v>CN</v>
      </c>
      <c r="L100" s="18" t="str">
        <f>"7323990090"</f>
        <v>7323990090</v>
      </c>
    </row>
    <row r="101" spans="2:12">
      <c r="B101" s="23" t="s">
        <v>506</v>
      </c>
      <c r="C101" s="18" t="str">
        <f>"Brew Biscuit Tin"</f>
        <v>Brew Biscuit Tin</v>
      </c>
      <c r="D101" s="43">
        <f>110</f>
        <v>110</v>
      </c>
      <c r="E101" s="19">
        <f>4</f>
        <v>4</v>
      </c>
      <c r="F101" s="18" t="str">
        <f>"5060278452432"</f>
        <v>5060278452432</v>
      </c>
      <c r="G101" s="41">
        <f>0.17</f>
        <v>0.17</v>
      </c>
      <c r="H101" s="41">
        <f>0.17</f>
        <v>0.17</v>
      </c>
      <c r="I101" s="41">
        <f>0.12</f>
        <v>0.12</v>
      </c>
      <c r="J101" s="41">
        <f>0.82</f>
        <v>0.82</v>
      </c>
      <c r="K101" s="18" t="str">
        <f t="shared" si="9"/>
        <v>CN</v>
      </c>
      <c r="L101" s="18" t="str">
        <f>"7323990090"</f>
        <v>7323990090</v>
      </c>
    </row>
    <row r="102" spans="2:12">
      <c r="B102" s="23" t="s">
        <v>505</v>
      </c>
      <c r="C102" s="18" t="str">
        <f>"Plum Tongs"</f>
        <v>Plum Tongs</v>
      </c>
      <c r="D102" s="43">
        <f>50</f>
        <v>50</v>
      </c>
      <c r="E102" s="19">
        <f>6</f>
        <v>6</v>
      </c>
      <c r="F102" s="18" t="str">
        <f>"5060278451336"</f>
        <v>5060278451336</v>
      </c>
      <c r="G102" s="41">
        <f>0.04</f>
        <v>0.04</v>
      </c>
      <c r="H102" s="41">
        <f>0.24</f>
        <v>0.24</v>
      </c>
      <c r="I102" s="41">
        <f>0.05</f>
        <v>0.05</v>
      </c>
      <c r="J102" s="41">
        <f>0.17</f>
        <v>0.17</v>
      </c>
      <c r="K102" s="18" t="str">
        <f>"IN"</f>
        <v>IN</v>
      </c>
      <c r="L102" s="18" t="str">
        <f>"7323990090"</f>
        <v>7323990090</v>
      </c>
    </row>
    <row r="103" spans="2:12">
      <c r="B103" s="23" t="s">
        <v>504</v>
      </c>
      <c r="C103" s="18" t="str">
        <f>"Tank Beer Glass X2 Black"</f>
        <v>Tank Beer Glass X2 Black</v>
      </c>
      <c r="D103" s="43">
        <f>80</f>
        <v>80</v>
      </c>
      <c r="E103" s="19">
        <f>6</f>
        <v>6</v>
      </c>
      <c r="F103" s="18" t="str">
        <f>"5056194500111"</f>
        <v>5056194500111</v>
      </c>
      <c r="G103" s="41">
        <f>0.11</f>
        <v>0.11</v>
      </c>
      <c r="H103" s="41">
        <f>0.2</f>
        <v>0.2</v>
      </c>
      <c r="I103" s="41">
        <f>0.2</f>
        <v>0.2</v>
      </c>
      <c r="J103" s="41">
        <f>0.6</f>
        <v>0.6</v>
      </c>
      <c r="K103" s="18" t="str">
        <f t="shared" ref="K103:K110" si="10">"PL"</f>
        <v>PL</v>
      </c>
      <c r="L103" s="18" t="str">
        <f t="shared" ref="L103:L110" si="11">"701399090"</f>
        <v>701399090</v>
      </c>
    </row>
    <row r="104" spans="2:12">
      <c r="B104" s="23" t="s">
        <v>503</v>
      </c>
      <c r="C104" s="18" t="str">
        <f>"Tank Champagne Glasses Black"</f>
        <v>Tank Champagne Glasses Black</v>
      </c>
      <c r="D104" s="43">
        <f>90</f>
        <v>90</v>
      </c>
      <c r="E104" s="19">
        <f>6</f>
        <v>6</v>
      </c>
      <c r="F104" s="18" t="str">
        <f>"5056194500159"</f>
        <v>5056194500159</v>
      </c>
      <c r="G104" s="41">
        <f>0.08</f>
        <v>0.08</v>
      </c>
      <c r="H104" s="41">
        <f>0.14</f>
        <v>0.14000000000000001</v>
      </c>
      <c r="I104" s="41">
        <f>0.24</f>
        <v>0.24</v>
      </c>
      <c r="J104" s="41">
        <f>1</f>
        <v>1</v>
      </c>
      <c r="K104" s="18" t="str">
        <f t="shared" si="10"/>
        <v>PL</v>
      </c>
      <c r="L104" s="18" t="str">
        <f t="shared" si="11"/>
        <v>701399090</v>
      </c>
    </row>
    <row r="105" spans="2:12">
      <c r="B105" s="23" t="s">
        <v>502</v>
      </c>
      <c r="C105" s="18" t="str">
        <f>"Tank Decanter Black"</f>
        <v>Tank Decanter Black</v>
      </c>
      <c r="D105" s="43">
        <f>120</f>
        <v>120</v>
      </c>
      <c r="E105" s="19">
        <f>2</f>
        <v>2</v>
      </c>
      <c r="F105" s="18" t="str">
        <f>"5056194500135"</f>
        <v>5056194500135</v>
      </c>
      <c r="G105" s="41">
        <f>0.31</f>
        <v>0.31</v>
      </c>
      <c r="H105" s="41">
        <f>0.19</f>
        <v>0.19</v>
      </c>
      <c r="I105" s="41">
        <f>0.19</f>
        <v>0.19</v>
      </c>
      <c r="J105" s="41">
        <f>1.2</f>
        <v>1.2</v>
      </c>
      <c r="K105" s="18" t="str">
        <f t="shared" si="10"/>
        <v>PL</v>
      </c>
      <c r="L105" s="18" t="str">
        <f t="shared" si="11"/>
        <v>701399090</v>
      </c>
    </row>
    <row r="106" spans="2:12">
      <c r="B106" s="23" t="s">
        <v>501</v>
      </c>
      <c r="C106" s="18" t="str">
        <f>"Tank High Ball Glasses x2 Blck"</f>
        <v>Tank High Ball Glasses x2 Blck</v>
      </c>
      <c r="D106" s="43">
        <f>80</f>
        <v>80</v>
      </c>
      <c r="E106" s="19">
        <f>6</f>
        <v>6</v>
      </c>
      <c r="F106" s="18" t="str">
        <f>"5056194500173"</f>
        <v>5056194500173</v>
      </c>
      <c r="G106" s="41">
        <f>0.1</f>
        <v>0.1</v>
      </c>
      <c r="H106" s="41">
        <f>0.16</f>
        <v>0.16</v>
      </c>
      <c r="I106" s="41">
        <f>0.17</f>
        <v>0.17</v>
      </c>
      <c r="J106" s="41">
        <f>1</f>
        <v>1</v>
      </c>
      <c r="K106" s="18" t="str">
        <f t="shared" si="10"/>
        <v>PL</v>
      </c>
      <c r="L106" s="18" t="str">
        <f t="shared" si="11"/>
        <v>701399090</v>
      </c>
    </row>
    <row r="107" spans="2:12">
      <c r="B107" s="23" t="s">
        <v>500</v>
      </c>
      <c r="C107" s="18" t="str">
        <f>"Tank Low Ball  Glasses x2 Blck"</f>
        <v>Tank Low Ball  Glasses x2 Blck</v>
      </c>
      <c r="D107" s="43">
        <f>70</f>
        <v>70</v>
      </c>
      <c r="E107" s="19">
        <f>6</f>
        <v>6</v>
      </c>
      <c r="F107" s="18" t="str">
        <f>"5056194500210"</f>
        <v>5056194500210</v>
      </c>
      <c r="G107" s="41">
        <f>0.09</f>
        <v>0.09</v>
      </c>
      <c r="H107" s="41">
        <f>0.18</f>
        <v>0.18</v>
      </c>
      <c r="I107" s="41">
        <f>0.12</f>
        <v>0.12</v>
      </c>
      <c r="J107" s="41">
        <f>1</f>
        <v>1</v>
      </c>
      <c r="K107" s="18" t="str">
        <f t="shared" si="10"/>
        <v>PL</v>
      </c>
      <c r="L107" s="18" t="str">
        <f t="shared" si="11"/>
        <v>701399090</v>
      </c>
    </row>
    <row r="108" spans="2:12">
      <c r="B108" s="23" t="s">
        <v>499</v>
      </c>
      <c r="C108" s="18" t="str">
        <f>"Tank Whiskey Decanter Black"</f>
        <v>Tank Whiskey Decanter Black</v>
      </c>
      <c r="D108" s="43">
        <f>100</f>
        <v>100</v>
      </c>
      <c r="E108" s="19">
        <f>2</f>
        <v>2</v>
      </c>
      <c r="F108" s="18" t="str">
        <f>"5056194500234"</f>
        <v>5056194500234</v>
      </c>
      <c r="G108" s="41">
        <f>0.3</f>
        <v>0.3</v>
      </c>
      <c r="H108" s="41">
        <f>0.15</f>
        <v>0.15</v>
      </c>
      <c r="I108" s="41">
        <f>0.15</f>
        <v>0.15</v>
      </c>
      <c r="J108" s="41">
        <f>1</f>
        <v>1</v>
      </c>
      <c r="K108" s="18" t="str">
        <f t="shared" si="10"/>
        <v>PL</v>
      </c>
      <c r="L108" s="18" t="str">
        <f t="shared" si="11"/>
        <v>701399090</v>
      </c>
    </row>
    <row r="109" spans="2:12">
      <c r="B109" s="23" t="s">
        <v>498</v>
      </c>
      <c r="C109" s="18" t="str">
        <f>"Tank Wine Glasses Black"</f>
        <v>Tank Wine Glasses Black</v>
      </c>
      <c r="D109" s="43">
        <f>90</f>
        <v>90</v>
      </c>
      <c r="E109" s="19">
        <f>6</f>
        <v>6</v>
      </c>
      <c r="F109" s="18" t="str">
        <f>"5056194500272"</f>
        <v>5056194500272</v>
      </c>
      <c r="G109" s="41">
        <f>0.19</f>
        <v>0.19</v>
      </c>
      <c r="H109" s="41">
        <f>0.2</f>
        <v>0.2</v>
      </c>
      <c r="I109" s="41">
        <f>0.2</f>
        <v>0.2</v>
      </c>
      <c r="J109" s="41">
        <f>0.9</f>
        <v>0.9</v>
      </c>
      <c r="K109" s="18" t="str">
        <f t="shared" si="10"/>
        <v>PL</v>
      </c>
      <c r="L109" s="18" t="str">
        <f t="shared" si="11"/>
        <v>701399090</v>
      </c>
    </row>
    <row r="110" spans="2:12">
      <c r="B110" s="23" t="s">
        <v>497</v>
      </c>
      <c r="C110" s="18" t="str">
        <f>"Tank Whiskey Glass X2 Black"</f>
        <v>Tank Whiskey Glass X2 Black</v>
      </c>
      <c r="D110" s="43">
        <f>60</f>
        <v>60</v>
      </c>
      <c r="E110" s="19">
        <f>6</f>
        <v>6</v>
      </c>
      <c r="F110" s="18" t="str">
        <f>"5056194500258"</f>
        <v>5056194500258</v>
      </c>
      <c r="G110" s="41">
        <f>0.11</f>
        <v>0.11</v>
      </c>
      <c r="H110" s="41">
        <f>0.2</f>
        <v>0.2</v>
      </c>
      <c r="I110" s="41">
        <f>0.1</f>
        <v>0.1</v>
      </c>
      <c r="J110" s="41">
        <f>0.6</f>
        <v>0.6</v>
      </c>
      <c r="K110" s="18" t="str">
        <f t="shared" si="10"/>
        <v>PL</v>
      </c>
      <c r="L110" s="18" t="str">
        <f t="shared" si="11"/>
        <v>701399090</v>
      </c>
    </row>
    <row r="111" spans="2:12">
      <c r="B111" s="23" t="s">
        <v>496</v>
      </c>
      <c r="C111" s="18" t="str">
        <f>"Plum Cocktail Shaker Copper"</f>
        <v>Plum Cocktail Shaker Copper</v>
      </c>
      <c r="D111" s="43">
        <f>130</f>
        <v>130</v>
      </c>
      <c r="E111" s="19">
        <f>2</f>
        <v>2</v>
      </c>
      <c r="F111" s="18" t="str">
        <f>"5060278451329"</f>
        <v>5060278451329</v>
      </c>
      <c r="G111" s="41">
        <f>0.21</f>
        <v>0.21</v>
      </c>
      <c r="H111" s="41">
        <f>0.24</f>
        <v>0.24</v>
      </c>
      <c r="I111" s="41">
        <f>0.185</f>
        <v>0.185</v>
      </c>
      <c r="J111" s="41">
        <f>2.515</f>
        <v>2.5150000000000001</v>
      </c>
      <c r="K111" s="18" t="str">
        <f>"IN"</f>
        <v>IN</v>
      </c>
      <c r="L111" s="18" t="str">
        <f>"7323990090"</f>
        <v>7323990090</v>
      </c>
    </row>
    <row r="112" spans="2:12">
      <c r="B112" s="23" t="s">
        <v>495</v>
      </c>
      <c r="C112" s="18" t="str">
        <f>"Plum Martini Glass Set of 2"</f>
        <v>Plum Martini Glass Set of 2</v>
      </c>
      <c r="D112" s="43">
        <f>110</f>
        <v>110</v>
      </c>
      <c r="E112" s="19">
        <f>4</f>
        <v>4</v>
      </c>
      <c r="F112" s="18" t="str">
        <f>"5055998500303"</f>
        <v>5055998500303</v>
      </c>
      <c r="G112" s="41">
        <f>0.1</f>
        <v>0.1</v>
      </c>
      <c r="H112" s="41">
        <f>0.11</f>
        <v>0.11</v>
      </c>
      <c r="I112" s="41">
        <f>0.07</f>
        <v>7.0000000000000007E-2</v>
      </c>
      <c r="J112" s="41">
        <f>0.169</f>
        <v>0.16900000000000001</v>
      </c>
      <c r="K112" s="18" t="str">
        <f>"IN"</f>
        <v>IN</v>
      </c>
      <c r="L112" s="18" t="str">
        <f>"7323990090"</f>
        <v>7323990090</v>
      </c>
    </row>
    <row r="113" spans="2:12">
      <c r="B113" s="23" t="s">
        <v>494</v>
      </c>
      <c r="C113" s="18" t="str">
        <f>"Plum Moscow Mule Set of 2"</f>
        <v>Plum Moscow Mule Set of 2</v>
      </c>
      <c r="D113" s="43">
        <f>70</f>
        <v>70</v>
      </c>
      <c r="E113" s="19">
        <f>4</f>
        <v>4</v>
      </c>
      <c r="F113" s="18" t="str">
        <f>"5055998500297"</f>
        <v>5055998500297</v>
      </c>
      <c r="G113" s="41">
        <f>0.11</f>
        <v>0.11</v>
      </c>
      <c r="H113" s="41">
        <f>0.08</f>
        <v>0.08</v>
      </c>
      <c r="I113" s="41">
        <f>0.11</f>
        <v>0.11</v>
      </c>
      <c r="J113" s="41">
        <f>0.157</f>
        <v>0.157</v>
      </c>
      <c r="K113" s="18" t="str">
        <f>"IN"</f>
        <v>IN</v>
      </c>
      <c r="L113" s="18" t="str">
        <f>"7323990090"</f>
        <v>7323990090</v>
      </c>
    </row>
    <row r="114" spans="2:12">
      <c r="B114" s="23" t="s">
        <v>493</v>
      </c>
      <c r="C114" s="18" t="str">
        <f>"Plum Shot Gift Set"</f>
        <v>Plum Shot Gift Set</v>
      </c>
      <c r="D114" s="43">
        <f>75</f>
        <v>75</v>
      </c>
      <c r="E114" s="19">
        <f>4</f>
        <v>4</v>
      </c>
      <c r="F114" s="18" t="str">
        <f>"5055998500327"</f>
        <v>5055998500327</v>
      </c>
      <c r="G114" s="41">
        <f>0.11</f>
        <v>0.11</v>
      </c>
      <c r="H114" s="41">
        <f>0.04</f>
        <v>0.04</v>
      </c>
      <c r="I114" s="41">
        <f>0.05</f>
        <v>0.05</v>
      </c>
      <c r="J114" s="41">
        <f>0.17</f>
        <v>0.17</v>
      </c>
      <c r="K114" s="18" t="str">
        <f>"IN"</f>
        <v>IN</v>
      </c>
      <c r="L114" s="18" t="str">
        <f>"7323990090"</f>
        <v>7323990090</v>
      </c>
    </row>
    <row r="115" spans="2:12">
      <c r="B115" s="23" t="s">
        <v>492</v>
      </c>
      <c r="C115" s="18" t="str">
        <f>"Plum Tray Copper Plated SS"</f>
        <v>Plum Tray Copper Plated SS</v>
      </c>
      <c r="D115" s="43">
        <f>190</f>
        <v>190</v>
      </c>
      <c r="E115" s="19">
        <f>4</f>
        <v>4</v>
      </c>
      <c r="F115" s="18" t="str">
        <f>"5055998500280"</f>
        <v>5055998500280</v>
      </c>
      <c r="G115" s="41">
        <f>0.035</f>
        <v>3.5000000000000003E-2</v>
      </c>
      <c r="H115" s="41">
        <f>0.36</f>
        <v>0.36</v>
      </c>
      <c r="I115" s="41">
        <f>0.6</f>
        <v>0.6</v>
      </c>
      <c r="J115" s="41">
        <f>1.678</f>
        <v>1.6779999999999999</v>
      </c>
      <c r="K115" s="18" t="str">
        <f>"IN"</f>
        <v>IN</v>
      </c>
      <c r="L115" s="18" t="str">
        <f>"7323990090"</f>
        <v>7323990090</v>
      </c>
    </row>
    <row r="116" spans="2:12">
      <c r="B116" s="23" t="s">
        <v>491</v>
      </c>
      <c r="C116" s="18" t="str">
        <f>"Scent LONDON DIFF REFIL 0.2L"</f>
        <v>Scent LONDON DIFF REFIL 0.2L</v>
      </c>
      <c r="D116" s="43">
        <f>30</f>
        <v>30</v>
      </c>
      <c r="E116" s="19">
        <f>6</f>
        <v>6</v>
      </c>
      <c r="F116" s="18" t="str">
        <f>"5060278450988"</f>
        <v>5060278450988</v>
      </c>
      <c r="G116" s="41">
        <f>0.18</f>
        <v>0.18</v>
      </c>
      <c r="H116" s="41">
        <f>0.06</f>
        <v>0.06</v>
      </c>
      <c r="I116" s="41">
        <f>0.06</f>
        <v>0.06</v>
      </c>
      <c r="J116" s="41">
        <f>0.2</f>
        <v>0.2</v>
      </c>
      <c r="K116" s="18" t="str">
        <f>"GB"</f>
        <v>GB</v>
      </c>
      <c r="L116" s="18" t="str">
        <f>"3406000000"</f>
        <v>3406000000</v>
      </c>
    </row>
    <row r="117" spans="2:12">
      <c r="B117" s="23" t="s">
        <v>490</v>
      </c>
      <c r="C117" s="18" t="str">
        <f>"Bump Vase Cone"</f>
        <v>Bump Vase Cone</v>
      </c>
      <c r="D117" s="43">
        <f>160</f>
        <v>160</v>
      </c>
      <c r="E117" s="19">
        <f>2</f>
        <v>2</v>
      </c>
      <c r="F117" s="18" t="str">
        <f>"5055998503045"</f>
        <v>5055998503045</v>
      </c>
      <c r="G117" s="41">
        <f>0.24</f>
        <v>0.24</v>
      </c>
      <c r="H117" s="41">
        <f>0.18</f>
        <v>0.18</v>
      </c>
      <c r="I117" s="41">
        <f>0.18</f>
        <v>0.18</v>
      </c>
      <c r="J117" s="41">
        <f>0.5</f>
        <v>0.5</v>
      </c>
      <c r="K117" s="18" t="str">
        <f>"CN"</f>
        <v>CN</v>
      </c>
      <c r="L117" s="18" t="str">
        <f>"7013339100"</f>
        <v>7013339100</v>
      </c>
    </row>
    <row r="118" spans="2:12">
      <c r="B118" s="23" t="s">
        <v>489</v>
      </c>
      <c r="C118" s="18" t="str">
        <f>"Bump Vase Tall"</f>
        <v>Bump Vase Tall</v>
      </c>
      <c r="D118" s="43">
        <f>180</f>
        <v>180</v>
      </c>
      <c r="E118" s="19">
        <f>2</f>
        <v>2</v>
      </c>
      <c r="F118" s="18" t="str">
        <f>"5055998503083"</f>
        <v>5055998503083</v>
      </c>
      <c r="G118" s="41">
        <f>0.13</f>
        <v>0.13</v>
      </c>
      <c r="H118" s="41">
        <f>0.13</f>
        <v>0.13</v>
      </c>
      <c r="I118" s="41">
        <f>0.27</f>
        <v>0.27</v>
      </c>
      <c r="J118" s="41">
        <f>0.5</f>
        <v>0.5</v>
      </c>
      <c r="K118" s="18" t="str">
        <f>"CN"</f>
        <v>CN</v>
      </c>
      <c r="L118" s="18" t="str">
        <f>"7013339100"</f>
        <v>7013339100</v>
      </c>
    </row>
    <row r="119" spans="2:12">
      <c r="B119" s="23" t="s">
        <v>488</v>
      </c>
      <c r="C119" s="18" t="str">
        <f>"Bump Vase Short"</f>
        <v>Bump Vase Short</v>
      </c>
      <c r="D119" s="43">
        <f>65</f>
        <v>65</v>
      </c>
      <c r="E119" s="19">
        <f>4</f>
        <v>4</v>
      </c>
      <c r="F119" s="18" t="str">
        <f>"5055998503120"</f>
        <v>5055998503120</v>
      </c>
      <c r="G119" s="41">
        <f>0.15</f>
        <v>0.15</v>
      </c>
      <c r="H119" s="41">
        <f>0.15</f>
        <v>0.15</v>
      </c>
      <c r="I119" s="41">
        <f>0.15</f>
        <v>0.15</v>
      </c>
      <c r="J119" s="41">
        <f>0.5</f>
        <v>0.5</v>
      </c>
      <c r="K119" s="18" t="str">
        <f>"CN"</f>
        <v>CN</v>
      </c>
      <c r="L119" s="18" t="str">
        <f>"7013339100"</f>
        <v>7013339100</v>
      </c>
    </row>
    <row r="120" spans="2:12">
      <c r="B120" s="23" t="s">
        <v>487</v>
      </c>
      <c r="C120" s="18" t="str">
        <f>"Scent ORIENT DIFF REFIL 0.2L"</f>
        <v>Scent ORIENT DIFF REFIL 0.2L</v>
      </c>
      <c r="D120" s="43">
        <f>30</f>
        <v>30</v>
      </c>
      <c r="E120" s="19">
        <f>6</f>
        <v>6</v>
      </c>
      <c r="F120" s="18" t="str">
        <f>"5060278450964"</f>
        <v>5060278450964</v>
      </c>
      <c r="G120" s="41">
        <f>0.18</f>
        <v>0.18</v>
      </c>
      <c r="H120" s="41">
        <f>0.06</f>
        <v>0.06</v>
      </c>
      <c r="I120" s="41">
        <f>0.06</f>
        <v>0.06</v>
      </c>
      <c r="J120" s="41">
        <f t="shared" ref="J120:J127" si="12">0.2</f>
        <v>0.2</v>
      </c>
      <c r="K120" s="18" t="str">
        <f t="shared" ref="K120:K127" si="13">"GB"</f>
        <v>GB</v>
      </c>
      <c r="L120" s="18" t="str">
        <f>"3406000000"</f>
        <v>3406000000</v>
      </c>
    </row>
    <row r="121" spans="2:12">
      <c r="B121" s="23" t="s">
        <v>486</v>
      </c>
      <c r="C121" s="18" t="str">
        <f>"Scent ROYALTY DIFF REFIL 0.2L"</f>
        <v>Scent ROYALTY DIFF REFIL 0.2L</v>
      </c>
      <c r="D121" s="43">
        <f>30</f>
        <v>30</v>
      </c>
      <c r="E121" s="19">
        <f>6</f>
        <v>6</v>
      </c>
      <c r="F121" s="18" t="str">
        <f>"5060278450971"</f>
        <v>5060278450971</v>
      </c>
      <c r="G121" s="41">
        <f>0.18</f>
        <v>0.18</v>
      </c>
      <c r="H121" s="41">
        <f>0.06</f>
        <v>0.06</v>
      </c>
      <c r="I121" s="41">
        <f>0.06</f>
        <v>0.06</v>
      </c>
      <c r="J121" s="41">
        <f t="shared" si="12"/>
        <v>0.2</v>
      </c>
      <c r="K121" s="18" t="str">
        <f t="shared" si="13"/>
        <v>GB</v>
      </c>
      <c r="L121" s="18" t="str">
        <f>"3406000000"</f>
        <v>3406000000</v>
      </c>
    </row>
    <row r="122" spans="2:12">
      <c r="B122" s="23" t="s">
        <v>485</v>
      </c>
      <c r="C122" s="18" t="str">
        <f>"Scent Air Diff Refill 0.2L"</f>
        <v>Scent Air Diff Refill 0.2L</v>
      </c>
      <c r="D122" s="43">
        <f>38</f>
        <v>38</v>
      </c>
      <c r="E122" s="19">
        <f>6</f>
        <v>6</v>
      </c>
      <c r="F122" s="18" t="str">
        <f>"5060278452036"</f>
        <v>5060278452036</v>
      </c>
      <c r="G122" s="41">
        <f t="shared" ref="G122:H125" si="14">0.06</f>
        <v>0.06</v>
      </c>
      <c r="H122" s="41">
        <f t="shared" si="14"/>
        <v>0.06</v>
      </c>
      <c r="I122" s="41">
        <f>0.18</f>
        <v>0.18</v>
      </c>
      <c r="J122" s="41">
        <f t="shared" si="12"/>
        <v>0.2</v>
      </c>
      <c r="K122" s="18" t="str">
        <f t="shared" si="13"/>
        <v>GB</v>
      </c>
      <c r="L122" s="18" t="str">
        <f t="shared" ref="L122:L127" si="15">"3307490000"</f>
        <v>3307490000</v>
      </c>
    </row>
    <row r="123" spans="2:12">
      <c r="B123" s="23" t="s">
        <v>484</v>
      </c>
      <c r="C123" s="18" t="str">
        <f>"Scent Earth Diff Refill 0.2L"</f>
        <v>Scent Earth Diff Refill 0.2L</v>
      </c>
      <c r="D123" s="43">
        <f>38</f>
        <v>38</v>
      </c>
      <c r="E123" s="19">
        <f>6</f>
        <v>6</v>
      </c>
      <c r="F123" s="18" t="str">
        <f>"5060278452029"</f>
        <v>5060278452029</v>
      </c>
      <c r="G123" s="41">
        <f t="shared" si="14"/>
        <v>0.06</v>
      </c>
      <c r="H123" s="41">
        <f t="shared" si="14"/>
        <v>0.06</v>
      </c>
      <c r="I123" s="41">
        <f>0.18</f>
        <v>0.18</v>
      </c>
      <c r="J123" s="41">
        <f t="shared" si="12"/>
        <v>0.2</v>
      </c>
      <c r="K123" s="18" t="str">
        <f t="shared" si="13"/>
        <v>GB</v>
      </c>
      <c r="L123" s="18" t="str">
        <f t="shared" si="15"/>
        <v>3307490000</v>
      </c>
    </row>
    <row r="124" spans="2:12">
      <c r="B124" s="23" t="s">
        <v>483</v>
      </c>
      <c r="C124" s="18" t="str">
        <f>"Scent Fire Diff Refill 0.2L"</f>
        <v>Scent Fire Diff Refill 0.2L</v>
      </c>
      <c r="D124" s="43">
        <f>38</f>
        <v>38</v>
      </c>
      <c r="E124" s="19">
        <f>6</f>
        <v>6</v>
      </c>
      <c r="F124" s="18" t="str">
        <f>"5060278452005"</f>
        <v>5060278452005</v>
      </c>
      <c r="G124" s="41">
        <f t="shared" si="14"/>
        <v>0.06</v>
      </c>
      <c r="H124" s="41">
        <f t="shared" si="14"/>
        <v>0.06</v>
      </c>
      <c r="I124" s="41">
        <f>0.18</f>
        <v>0.18</v>
      </c>
      <c r="J124" s="41">
        <f t="shared" si="12"/>
        <v>0.2</v>
      </c>
      <c r="K124" s="18" t="str">
        <f t="shared" si="13"/>
        <v>GB</v>
      </c>
      <c r="L124" s="18" t="str">
        <f t="shared" si="15"/>
        <v>3307490000</v>
      </c>
    </row>
    <row r="125" spans="2:12">
      <c r="B125" s="23" t="s">
        <v>482</v>
      </c>
      <c r="C125" s="18" t="str">
        <f>"Scent Water Diff Refill 0.2L"</f>
        <v>Scent Water Diff Refill 0.2L</v>
      </c>
      <c r="D125" s="43">
        <f>38</f>
        <v>38</v>
      </c>
      <c r="E125" s="19">
        <f>6</f>
        <v>6</v>
      </c>
      <c r="F125" s="18" t="str">
        <f>"5060278452012"</f>
        <v>5060278452012</v>
      </c>
      <c r="G125" s="41">
        <f t="shared" si="14"/>
        <v>0.06</v>
      </c>
      <c r="H125" s="41">
        <f t="shared" si="14"/>
        <v>0.06</v>
      </c>
      <c r="I125" s="41">
        <f>0.18</f>
        <v>0.18</v>
      </c>
      <c r="J125" s="41">
        <f t="shared" si="12"/>
        <v>0.2</v>
      </c>
      <c r="K125" s="18" t="str">
        <f t="shared" si="13"/>
        <v>GB</v>
      </c>
      <c r="L125" s="18" t="str">
        <f t="shared" si="15"/>
        <v>3307490000</v>
      </c>
    </row>
    <row r="126" spans="2:12">
      <c r="B126" s="23" t="s">
        <v>481</v>
      </c>
      <c r="C126" s="18" t="str">
        <f>"Alloy Diffuser Refill 0.2L"</f>
        <v>Alloy Diffuser Refill 0.2L</v>
      </c>
      <c r="D126" s="43">
        <f>32</f>
        <v>32</v>
      </c>
      <c r="E126" s="19">
        <f>6</f>
        <v>6</v>
      </c>
      <c r="F126" s="18" t="str">
        <f>"5055998501744"</f>
        <v>5055998501744</v>
      </c>
      <c r="G126" s="41">
        <f>0.18</f>
        <v>0.18</v>
      </c>
      <c r="H126" s="41">
        <f>0.06</f>
        <v>0.06</v>
      </c>
      <c r="I126" s="41">
        <f>0.06</f>
        <v>0.06</v>
      </c>
      <c r="J126" s="41">
        <f t="shared" si="12"/>
        <v>0.2</v>
      </c>
      <c r="K126" s="18" t="str">
        <f t="shared" si="13"/>
        <v>GB</v>
      </c>
      <c r="L126" s="18" t="str">
        <f t="shared" si="15"/>
        <v>3307490000</v>
      </c>
    </row>
    <row r="127" spans="2:12">
      <c r="B127" s="23" t="s">
        <v>480</v>
      </c>
      <c r="C127" s="18" t="str">
        <f>"Oil Diffuser Refill 0.2L"</f>
        <v>Oil Diffuser Refill 0.2L</v>
      </c>
      <c r="D127" s="43">
        <f>32</f>
        <v>32</v>
      </c>
      <c r="E127" s="19">
        <f>6</f>
        <v>6</v>
      </c>
      <c r="F127" s="18" t="str">
        <f>"5055998501751"</f>
        <v>5055998501751</v>
      </c>
      <c r="G127" s="41">
        <f>0.06</f>
        <v>0.06</v>
      </c>
      <c r="H127" s="41">
        <f>0.06</f>
        <v>0.06</v>
      </c>
      <c r="I127" s="41">
        <f>0.18</f>
        <v>0.18</v>
      </c>
      <c r="J127" s="41">
        <f t="shared" si="12"/>
        <v>0.2</v>
      </c>
      <c r="K127" s="18" t="str">
        <f t="shared" si="13"/>
        <v>GB</v>
      </c>
      <c r="L127" s="18" t="str">
        <f t="shared" si="15"/>
        <v>3307490000</v>
      </c>
    </row>
    <row r="128" spans="2:12">
      <c r="B128" s="23" t="s">
        <v>479</v>
      </c>
      <c r="C128" s="18" t="str">
        <f>"Brew Coffee Tray"</f>
        <v>Brew Coffee Tray</v>
      </c>
      <c r="D128" s="43">
        <f>210</f>
        <v>210</v>
      </c>
      <c r="E128" s="19">
        <f>4</f>
        <v>4</v>
      </c>
      <c r="F128" s="18" t="str">
        <f>"5060278459400"</f>
        <v>5060278459400</v>
      </c>
      <c r="G128" s="41">
        <f>0.04</f>
        <v>0.04</v>
      </c>
      <c r="H128" s="41">
        <f>0.43</f>
        <v>0.43</v>
      </c>
      <c r="I128" s="41">
        <f>0.43</f>
        <v>0.43</v>
      </c>
      <c r="J128" s="41">
        <f>0.98</f>
        <v>0.98</v>
      </c>
      <c r="K128" s="18" t="str">
        <f>"CN"</f>
        <v>CN</v>
      </c>
      <c r="L128" s="18" t="str">
        <f>"7323990090"</f>
        <v>7323990090</v>
      </c>
    </row>
    <row r="129" spans="2:12">
      <c r="B129" s="23" t="s">
        <v>478</v>
      </c>
      <c r="C129" s="18" t="str">
        <f>"Tank Decanter"</f>
        <v>Tank Decanter</v>
      </c>
      <c r="D129" s="43">
        <f>120</f>
        <v>120</v>
      </c>
      <c r="E129" s="19">
        <f>2</f>
        <v>2</v>
      </c>
      <c r="F129" s="18" t="str">
        <f>"5060278451985"</f>
        <v>5060278451985</v>
      </c>
      <c r="G129" s="41">
        <f>0.31</f>
        <v>0.31</v>
      </c>
      <c r="H129" s="41">
        <f>0.19</f>
        <v>0.19</v>
      </c>
      <c r="I129" s="41">
        <f>0.19</f>
        <v>0.19</v>
      </c>
      <c r="J129" s="41">
        <f>1.2</f>
        <v>1.2</v>
      </c>
      <c r="K129" s="18" t="str">
        <f>"PL"</f>
        <v>PL</v>
      </c>
      <c r="L129" s="18" t="str">
        <f>"7013499100"</f>
        <v>7013499100</v>
      </c>
    </row>
    <row r="130" spans="2:12">
      <c r="B130" s="23" t="s">
        <v>477</v>
      </c>
      <c r="C130" s="18" t="str">
        <f>"Tank Jug Black"</f>
        <v>Tank Jug Black</v>
      </c>
      <c r="D130" s="43">
        <f>120</f>
        <v>120</v>
      </c>
      <c r="E130" s="19">
        <f>2</f>
        <v>2</v>
      </c>
      <c r="F130" s="18" t="str">
        <f>"5056194500197"</f>
        <v>5056194500197</v>
      </c>
      <c r="G130" s="41">
        <f>0.16</f>
        <v>0.16</v>
      </c>
      <c r="H130" s="41">
        <f>0.16</f>
        <v>0.16</v>
      </c>
      <c r="I130" s="41">
        <f>0.38</f>
        <v>0.38</v>
      </c>
      <c r="J130" s="41">
        <f>1.2</f>
        <v>1.2</v>
      </c>
      <c r="K130" s="18" t="str">
        <f>"PL"</f>
        <v>PL</v>
      </c>
      <c r="L130" s="18" t="str">
        <f>"701399090"</f>
        <v>701399090</v>
      </c>
    </row>
    <row r="131" spans="2:12">
      <c r="B131" s="23" t="s">
        <v>476</v>
      </c>
      <c r="C131" s="18" t="str">
        <f>"Form Stainless Steel Gift Set"</f>
        <v>Form Stainless Steel Gift Set</v>
      </c>
      <c r="D131" s="43">
        <f>260</f>
        <v>260</v>
      </c>
      <c r="E131" s="19">
        <f>4</f>
        <v>4</v>
      </c>
      <c r="F131" s="18" t="str">
        <f>"5056194500470"</f>
        <v>5056194500470</v>
      </c>
      <c r="G131" s="41">
        <f>0.21</f>
        <v>0.21</v>
      </c>
      <c r="H131" s="41">
        <f>0.34</f>
        <v>0.34</v>
      </c>
      <c r="I131" s="41">
        <f>0.33</f>
        <v>0.33</v>
      </c>
      <c r="J131" s="41">
        <f>3</f>
        <v>3</v>
      </c>
      <c r="K131" s="18" t="str">
        <f t="shared" ref="K131:K138" si="16">"IN"</f>
        <v>IN</v>
      </c>
      <c r="L131" s="18" t="str">
        <f>"7418109090"</f>
        <v>7418109090</v>
      </c>
    </row>
    <row r="132" spans="2:12">
      <c r="B132" s="23" t="s">
        <v>475</v>
      </c>
      <c r="C132" s="18" t="str">
        <f>"Rock Candle Holder Large"</f>
        <v>Rock Candle Holder Large</v>
      </c>
      <c r="D132" s="43">
        <f>230</f>
        <v>230</v>
      </c>
      <c r="E132" s="19">
        <f>1</f>
        <v>1</v>
      </c>
      <c r="F132" s="18" t="str">
        <f>"5056194500357"</f>
        <v>5056194500357</v>
      </c>
      <c r="G132" s="41">
        <f>0.23</f>
        <v>0.23</v>
      </c>
      <c r="H132" s="41">
        <f>0.355</f>
        <v>0.35499999999999998</v>
      </c>
      <c r="I132" s="41">
        <f>0.385</f>
        <v>0.38500000000000001</v>
      </c>
      <c r="J132" s="41">
        <f>5.65</f>
        <v>5.65</v>
      </c>
      <c r="K132" s="18" t="str">
        <f t="shared" si="16"/>
        <v>IN</v>
      </c>
      <c r="L132" s="18" t="str">
        <f t="shared" ref="L132:L138" si="17">"6912002390"</f>
        <v>6912002390</v>
      </c>
    </row>
    <row r="133" spans="2:12">
      <c r="B133" s="23" t="s">
        <v>474</v>
      </c>
      <c r="C133" s="18" t="str">
        <f>"Rock Candle Holder Medium"</f>
        <v>Rock Candle Holder Medium</v>
      </c>
      <c r="D133" s="43">
        <f>150</f>
        <v>150</v>
      </c>
      <c r="E133" s="19">
        <f>2</f>
        <v>2</v>
      </c>
      <c r="F133" s="18" t="str">
        <f>"5056194500333"</f>
        <v>5056194500333</v>
      </c>
      <c r="G133" s="41">
        <f>0.295</f>
        <v>0.29499999999999998</v>
      </c>
      <c r="H133" s="41">
        <f>0.16</f>
        <v>0.16</v>
      </c>
      <c r="I133" s="41">
        <f>0.24</f>
        <v>0.24</v>
      </c>
      <c r="J133" s="41">
        <f>3.12</f>
        <v>3.12</v>
      </c>
      <c r="K133" s="18" t="str">
        <f t="shared" si="16"/>
        <v>IN</v>
      </c>
      <c r="L133" s="18" t="str">
        <f t="shared" si="17"/>
        <v>6912002390</v>
      </c>
    </row>
    <row r="134" spans="2:12">
      <c r="B134" s="23" t="s">
        <v>473</v>
      </c>
      <c r="C134" s="18" t="str">
        <f>"Rock dumb bell 2.5kg"</f>
        <v>Rock dumb bell 2.5kg</v>
      </c>
      <c r="D134" s="43">
        <f>180</f>
        <v>180</v>
      </c>
      <c r="E134" s="19">
        <f>4</f>
        <v>4</v>
      </c>
      <c r="F134" s="18" t="str">
        <f>"5056194500371"</f>
        <v>5056194500371</v>
      </c>
      <c r="G134" s="41">
        <f>0.22</f>
        <v>0.22</v>
      </c>
      <c r="H134" s="41">
        <f>0.24</f>
        <v>0.24</v>
      </c>
      <c r="I134" s="41">
        <f>0.29</f>
        <v>0.28999999999999998</v>
      </c>
      <c r="J134" s="41">
        <f>3.15</f>
        <v>3.15</v>
      </c>
      <c r="K134" s="18" t="str">
        <f t="shared" si="16"/>
        <v>IN</v>
      </c>
      <c r="L134" s="18" t="str">
        <f t="shared" si="17"/>
        <v>6912002390</v>
      </c>
    </row>
    <row r="135" spans="2:12">
      <c r="B135" s="23" t="s">
        <v>472</v>
      </c>
      <c r="C135" s="18" t="str">
        <f>"Rock Tealights"</f>
        <v>Rock Tealights</v>
      </c>
      <c r="D135" s="43">
        <f>80</f>
        <v>80</v>
      </c>
      <c r="E135" s="19">
        <f>4</f>
        <v>4</v>
      </c>
      <c r="F135" s="18" t="str">
        <f>"5056194500319"</f>
        <v>5056194500319</v>
      </c>
      <c r="G135" s="41">
        <f>0.305</f>
        <v>0.30499999999999999</v>
      </c>
      <c r="H135" s="41">
        <f>0.14</f>
        <v>0.14000000000000001</v>
      </c>
      <c r="I135" s="41">
        <f>0.14</f>
        <v>0.14000000000000001</v>
      </c>
      <c r="J135" s="41">
        <f>1.45</f>
        <v>1.45</v>
      </c>
      <c r="K135" s="18" t="str">
        <f t="shared" si="16"/>
        <v>IN</v>
      </c>
      <c r="L135" s="18" t="str">
        <f t="shared" si="17"/>
        <v>6912002390</v>
      </c>
    </row>
    <row r="136" spans="2:12">
      <c r="B136" s="23" t="s">
        <v>471</v>
      </c>
      <c r="C136" s="18" t="str">
        <f>"Rock Serving Board Long"</f>
        <v>Rock Serving Board Long</v>
      </c>
      <c r="D136" s="43">
        <f>160</f>
        <v>160</v>
      </c>
      <c r="E136" s="19">
        <f>2</f>
        <v>2</v>
      </c>
      <c r="F136" s="18" t="str">
        <f>"5056194500432"</f>
        <v>5056194500432</v>
      </c>
      <c r="G136" s="41">
        <f>0.14</f>
        <v>0.14000000000000001</v>
      </c>
      <c r="H136" s="41">
        <f>0.25</f>
        <v>0.25</v>
      </c>
      <c r="I136" s="41">
        <f>0.71</f>
        <v>0.71</v>
      </c>
      <c r="J136" s="41">
        <f>5.75</f>
        <v>5.75</v>
      </c>
      <c r="K136" s="18" t="str">
        <f t="shared" si="16"/>
        <v>IN</v>
      </c>
      <c r="L136" s="18" t="str">
        <f t="shared" si="17"/>
        <v>6912002390</v>
      </c>
    </row>
    <row r="137" spans="2:12">
      <c r="B137" s="23" t="s">
        <v>470</v>
      </c>
      <c r="C137" s="18" t="str">
        <f>"Rock Serving Board Oblong"</f>
        <v>Rock Serving Board Oblong</v>
      </c>
      <c r="D137" s="43">
        <f>180</f>
        <v>180</v>
      </c>
      <c r="E137" s="19">
        <f>1</f>
        <v>1</v>
      </c>
      <c r="F137" s="18" t="str">
        <f>"5056194500418"</f>
        <v>5056194500418</v>
      </c>
      <c r="G137" s="41">
        <f>0.36</f>
        <v>0.36</v>
      </c>
      <c r="H137" s="41">
        <f>0.115</f>
        <v>0.115</v>
      </c>
      <c r="I137" s="41">
        <f>0.51</f>
        <v>0.51</v>
      </c>
      <c r="J137" s="41">
        <f>5.48</f>
        <v>5.48</v>
      </c>
      <c r="K137" s="18" t="str">
        <f t="shared" si="16"/>
        <v>IN</v>
      </c>
      <c r="L137" s="18" t="str">
        <f t="shared" si="17"/>
        <v>6912002390</v>
      </c>
    </row>
    <row r="138" spans="2:12">
      <c r="B138" s="23" t="s">
        <v>469</v>
      </c>
      <c r="C138" s="18" t="str">
        <f>"Rock Serving Board Circle"</f>
        <v>Rock Serving Board Circle</v>
      </c>
      <c r="D138" s="43">
        <f>140</f>
        <v>140</v>
      </c>
      <c r="E138" s="19">
        <f>2</f>
        <v>2</v>
      </c>
      <c r="F138" s="18" t="str">
        <f>"5056194500395"</f>
        <v>5056194500395</v>
      </c>
      <c r="G138" s="41">
        <f>0.095</f>
        <v>9.5000000000000001E-2</v>
      </c>
      <c r="H138" s="41">
        <f>0.35</f>
        <v>0.35</v>
      </c>
      <c r="I138" s="41">
        <f>0.37</f>
        <v>0.37</v>
      </c>
      <c r="J138" s="41">
        <f>3.16</f>
        <v>3.16</v>
      </c>
      <c r="K138" s="18" t="str">
        <f t="shared" si="16"/>
        <v>IN</v>
      </c>
      <c r="L138" s="18" t="str">
        <f t="shared" si="17"/>
        <v>6912002390</v>
      </c>
    </row>
    <row r="139" spans="2:12">
      <c r="B139" s="20" t="s">
        <v>468</v>
      </c>
      <c r="C139" s="18" t="str">
        <f>"Brew Stove Top SS"</f>
        <v>Brew Stove Top SS</v>
      </c>
      <c r="D139" s="43">
        <f>170</f>
        <v>170</v>
      </c>
      <c r="E139" s="19">
        <f>4</f>
        <v>4</v>
      </c>
      <c r="F139" s="18" t="str">
        <f>"5056194501453"</f>
        <v>5056194501453</v>
      </c>
      <c r="G139" s="41">
        <f>0.21</f>
        <v>0.21</v>
      </c>
      <c r="H139" s="41">
        <f>0.13</f>
        <v>0.13</v>
      </c>
      <c r="I139" s="41">
        <f>0.15</f>
        <v>0.15</v>
      </c>
      <c r="J139" s="41">
        <f>1.1</f>
        <v>1.1000000000000001</v>
      </c>
      <c r="K139" s="18" t="str">
        <f t="shared" ref="K139:K146" si="18">"HK"</f>
        <v>HK</v>
      </c>
      <c r="L139" s="18" t="str">
        <f t="shared" ref="L139:L152" si="19">"7323990090"</f>
        <v>7323990090</v>
      </c>
    </row>
    <row r="140" spans="2:12">
      <c r="B140" s="20" t="s">
        <v>467</v>
      </c>
      <c r="C140" s="18" t="str">
        <f>"Brew Espresso Cups x4 SS"</f>
        <v>Brew Espresso Cups x4 SS</v>
      </c>
      <c r="D140" s="43">
        <f>110</f>
        <v>110</v>
      </c>
      <c r="E140" s="19">
        <f>4</f>
        <v>4</v>
      </c>
      <c r="F140" s="18" t="str">
        <f>"5056194501477"</f>
        <v>5056194501477</v>
      </c>
      <c r="G140" s="41">
        <f>0.07</f>
        <v>7.0000000000000007E-2</v>
      </c>
      <c r="H140" s="41">
        <f>0.16</f>
        <v>0.16</v>
      </c>
      <c r="I140" s="41">
        <f>0.16</f>
        <v>0.16</v>
      </c>
      <c r="J140" s="41">
        <f>0.59</f>
        <v>0.59</v>
      </c>
      <c r="K140" s="18" t="str">
        <f t="shared" si="18"/>
        <v>HK</v>
      </c>
      <c r="L140" s="18" t="str">
        <f t="shared" si="19"/>
        <v>7323990090</v>
      </c>
    </row>
    <row r="141" spans="2:12">
      <c r="B141" s="20" t="s">
        <v>466</v>
      </c>
      <c r="C141" s="18" t="str">
        <f>"Brew Milk Pan SS"</f>
        <v>Brew Milk Pan SS</v>
      </c>
      <c r="D141" s="43">
        <f>95</f>
        <v>95</v>
      </c>
      <c r="E141" s="19">
        <f>4</f>
        <v>4</v>
      </c>
      <c r="F141" s="18" t="str">
        <f>"5056194501491"</f>
        <v>5056194501491</v>
      </c>
      <c r="G141" s="41">
        <f>0.09</f>
        <v>0.09</v>
      </c>
      <c r="H141" s="41">
        <f>0.15</f>
        <v>0.15</v>
      </c>
      <c r="I141" s="41">
        <f>0.27</f>
        <v>0.27</v>
      </c>
      <c r="J141" s="41">
        <f>0.695</f>
        <v>0.69499999999999995</v>
      </c>
      <c r="K141" s="18" t="str">
        <f t="shared" si="18"/>
        <v>HK</v>
      </c>
      <c r="L141" s="18" t="str">
        <f t="shared" si="19"/>
        <v>7323990090</v>
      </c>
    </row>
    <row r="142" spans="2:12">
      <c r="B142" s="20" t="s">
        <v>465</v>
      </c>
      <c r="C142" s="18" t="str">
        <f>"Brew Tray SS"</f>
        <v>Brew Tray SS</v>
      </c>
      <c r="D142" s="43">
        <f>210</f>
        <v>210</v>
      </c>
      <c r="E142" s="19">
        <f>4</f>
        <v>4</v>
      </c>
      <c r="F142" s="18" t="str">
        <f>"5056194501514"</f>
        <v>5056194501514</v>
      </c>
      <c r="G142" s="41">
        <f>0.05</f>
        <v>0.05</v>
      </c>
      <c r="H142" s="41">
        <f>0.44</f>
        <v>0.44</v>
      </c>
      <c r="I142" s="41">
        <f>0.44</f>
        <v>0.44</v>
      </c>
      <c r="J142" s="41">
        <f>2.05</f>
        <v>2.0499999999999998</v>
      </c>
      <c r="K142" s="18" t="str">
        <f t="shared" si="18"/>
        <v>HK</v>
      </c>
      <c r="L142" s="18" t="str">
        <f t="shared" si="19"/>
        <v>7323990090</v>
      </c>
    </row>
    <row r="143" spans="2:12">
      <c r="B143" s="20" t="s">
        <v>464</v>
      </c>
      <c r="C143" s="18" t="str">
        <f>"Brew Biscuit Tin SS"</f>
        <v>Brew Biscuit Tin SS</v>
      </c>
      <c r="D143" s="43">
        <f>110</f>
        <v>110</v>
      </c>
      <c r="E143" s="19">
        <f>4</f>
        <v>4</v>
      </c>
      <c r="F143" s="18" t="str">
        <f>"5056194502696"</f>
        <v>5056194502696</v>
      </c>
      <c r="G143" s="41">
        <f>0.11</f>
        <v>0.11</v>
      </c>
      <c r="H143" s="41">
        <f>0.17</f>
        <v>0.17</v>
      </c>
      <c r="I143" s="41">
        <f>0.17</f>
        <v>0.17</v>
      </c>
      <c r="J143" s="41">
        <f>0.865</f>
        <v>0.86499999999999999</v>
      </c>
      <c r="K143" s="18" t="str">
        <f t="shared" si="18"/>
        <v>HK</v>
      </c>
      <c r="L143" s="18" t="str">
        <f t="shared" si="19"/>
        <v>7323990090</v>
      </c>
    </row>
    <row r="144" spans="2:12">
      <c r="B144" s="20" t="s">
        <v>463</v>
      </c>
      <c r="C144" s="18" t="str">
        <f>"Brew Coffee Caddy SS"</f>
        <v>Brew Coffee Caddy SS</v>
      </c>
      <c r="D144" s="43">
        <f>110</f>
        <v>110</v>
      </c>
      <c r="E144" s="19">
        <f>4</f>
        <v>4</v>
      </c>
      <c r="F144" s="18" t="str">
        <f>"5056194501576"</f>
        <v>5056194501576</v>
      </c>
      <c r="G144" s="41">
        <f>0.02</f>
        <v>0.02</v>
      </c>
      <c r="H144" s="41">
        <f>0.11</f>
        <v>0.11</v>
      </c>
      <c r="I144" s="41">
        <f>0.11</f>
        <v>0.11</v>
      </c>
      <c r="J144" s="41">
        <f>0.845</f>
        <v>0.84499999999999997</v>
      </c>
      <c r="K144" s="18" t="str">
        <f t="shared" si="18"/>
        <v>HK</v>
      </c>
      <c r="L144" s="18" t="str">
        <f t="shared" si="19"/>
        <v>7323990090</v>
      </c>
    </row>
    <row r="145" spans="2:12">
      <c r="B145" s="20" t="s">
        <v>462</v>
      </c>
      <c r="C145" s="18" t="str">
        <f>"Brew Coffee Scoop SS"</f>
        <v>Brew Coffee Scoop SS</v>
      </c>
      <c r="D145" s="43">
        <f>42</f>
        <v>42</v>
      </c>
      <c r="E145" s="19">
        <f>6</f>
        <v>6</v>
      </c>
      <c r="F145" s="18" t="str">
        <f>"5056194501552"</f>
        <v>5056194501552</v>
      </c>
      <c r="G145" s="41">
        <f>0.05</f>
        <v>0.05</v>
      </c>
      <c r="H145" s="41">
        <f>0.1</f>
        <v>0.1</v>
      </c>
      <c r="I145" s="41">
        <f>0.23</f>
        <v>0.23</v>
      </c>
      <c r="J145" s="41">
        <f>0.25</f>
        <v>0.25</v>
      </c>
      <c r="K145" s="18" t="str">
        <f t="shared" si="18"/>
        <v>HK</v>
      </c>
      <c r="L145" s="18" t="str">
        <f t="shared" si="19"/>
        <v>7323990090</v>
      </c>
    </row>
    <row r="146" spans="2:12" ht="30">
      <c r="B146" s="20" t="s">
        <v>461</v>
      </c>
      <c r="C146" s="18" t="str">
        <f>"Brew Cafetiere SS"</f>
        <v>Brew Cafetiere SS</v>
      </c>
      <c r="D146" s="43">
        <f>170</f>
        <v>170</v>
      </c>
      <c r="E146" s="19">
        <f>4</f>
        <v>4</v>
      </c>
      <c r="F146" s="18" t="str">
        <f>"5056194501590"</f>
        <v>5056194501590</v>
      </c>
      <c r="G146" s="41">
        <f>0.25</f>
        <v>0.25</v>
      </c>
      <c r="H146" s="41">
        <f>0.15</f>
        <v>0.15</v>
      </c>
      <c r="I146" s="41">
        <f>0.15</f>
        <v>0.15</v>
      </c>
      <c r="J146" s="41">
        <f>1.138</f>
        <v>1.1379999999999999</v>
      </c>
      <c r="K146" s="18" t="str">
        <f t="shared" si="18"/>
        <v>HK</v>
      </c>
      <c r="L146" s="18" t="str">
        <f t="shared" si="19"/>
        <v>7323990090</v>
      </c>
    </row>
    <row r="147" spans="2:12">
      <c r="B147" s="20" t="s">
        <v>460</v>
      </c>
      <c r="C147" s="18" t="str">
        <f>"Form Tray SS"</f>
        <v>Form Tray SS</v>
      </c>
      <c r="D147" s="43">
        <f>170</f>
        <v>170</v>
      </c>
      <c r="E147" s="19">
        <f>4</f>
        <v>4</v>
      </c>
      <c r="F147" s="18" t="str">
        <f>"5056194501613"</f>
        <v>5056194501613</v>
      </c>
      <c r="G147" s="41">
        <f>0.05</f>
        <v>0.05</v>
      </c>
      <c r="H147" s="41">
        <f>0.48</f>
        <v>0.48</v>
      </c>
      <c r="I147" s="41">
        <f>0.55</f>
        <v>0.55000000000000004</v>
      </c>
      <c r="J147" s="41">
        <f>1.45</f>
        <v>1.45</v>
      </c>
      <c r="K147" s="18" t="str">
        <f t="shared" ref="K147:K152" si="20">"IN"</f>
        <v>IN</v>
      </c>
      <c r="L147" s="18" t="str">
        <f t="shared" si="19"/>
        <v>7323990090</v>
      </c>
    </row>
    <row r="148" spans="2:12">
      <c r="B148" s="20" t="s">
        <v>459</v>
      </c>
      <c r="C148" s="18" t="str">
        <f>"Form Tea Pot SS"</f>
        <v>Form Tea Pot SS</v>
      </c>
      <c r="D148" s="43">
        <f>180</f>
        <v>180</v>
      </c>
      <c r="E148" s="19">
        <f>4</f>
        <v>4</v>
      </c>
      <c r="F148" s="18" t="str">
        <f>"5056194501637"</f>
        <v>5056194501637</v>
      </c>
      <c r="G148" s="41">
        <f>0.27</f>
        <v>0.27</v>
      </c>
      <c r="H148" s="41">
        <f>0.15</f>
        <v>0.15</v>
      </c>
      <c r="I148" s="41">
        <f>0.15</f>
        <v>0.15</v>
      </c>
      <c r="J148" s="41">
        <f>0.98</f>
        <v>0.98</v>
      </c>
      <c r="K148" s="18" t="str">
        <f t="shared" si="20"/>
        <v>IN</v>
      </c>
      <c r="L148" s="18" t="str">
        <f t="shared" si="19"/>
        <v>7323990090</v>
      </c>
    </row>
    <row r="149" spans="2:12">
      <c r="B149" s="20" t="s">
        <v>458</v>
      </c>
      <c r="C149" s="18" t="str">
        <f>"Form Caddy SS"</f>
        <v>Form Caddy SS</v>
      </c>
      <c r="D149" s="43">
        <f>60</f>
        <v>60</v>
      </c>
      <c r="E149" s="19">
        <f>4</f>
        <v>4</v>
      </c>
      <c r="F149" s="18" t="str">
        <f>"5056194501651"</f>
        <v>5056194501651</v>
      </c>
      <c r="G149" s="41">
        <f>0.14</f>
        <v>0.14000000000000001</v>
      </c>
      <c r="H149" s="41">
        <f>0.09</f>
        <v>0.09</v>
      </c>
      <c r="I149" s="41">
        <f>0.09</f>
        <v>0.09</v>
      </c>
      <c r="J149" s="41">
        <f>0.33</f>
        <v>0.33</v>
      </c>
      <c r="K149" s="18" t="str">
        <f t="shared" si="20"/>
        <v>IN</v>
      </c>
      <c r="L149" s="18" t="str">
        <f t="shared" si="19"/>
        <v>7323990090</v>
      </c>
    </row>
    <row r="150" spans="2:12">
      <c r="B150" s="20" t="s">
        <v>457</v>
      </c>
      <c r="C150" s="18" t="str">
        <f>"Form Sugar SS"</f>
        <v>Form Sugar SS</v>
      </c>
      <c r="D150" s="43">
        <f>70</f>
        <v>70</v>
      </c>
      <c r="E150" s="19">
        <f>4</f>
        <v>4</v>
      </c>
      <c r="F150" s="18" t="str">
        <f>"5056194501675"</f>
        <v>5056194501675</v>
      </c>
      <c r="G150" s="41">
        <f>0.13</f>
        <v>0.13</v>
      </c>
      <c r="H150" s="41">
        <f>0.11</f>
        <v>0.11</v>
      </c>
      <c r="I150" s="41">
        <f>0.07</f>
        <v>7.0000000000000007E-2</v>
      </c>
      <c r="J150" s="41">
        <f>0.33</f>
        <v>0.33</v>
      </c>
      <c r="K150" s="18" t="str">
        <f t="shared" si="20"/>
        <v>IN</v>
      </c>
      <c r="L150" s="18" t="str">
        <f t="shared" si="19"/>
        <v>7323990090</v>
      </c>
    </row>
    <row r="151" spans="2:12">
      <c r="B151" s="20" t="s">
        <v>456</v>
      </c>
      <c r="C151" s="18" t="str">
        <f>"Form Jug  SS"</f>
        <v>Form Jug  SS</v>
      </c>
      <c r="D151" s="43">
        <f>130</f>
        <v>130</v>
      </c>
      <c r="E151" s="19">
        <f>4</f>
        <v>4</v>
      </c>
      <c r="F151" s="18" t="str">
        <f>"5056194501699"</f>
        <v>5056194501699</v>
      </c>
      <c r="G151" s="41">
        <f>0.12</f>
        <v>0.12</v>
      </c>
      <c r="H151" s="41">
        <f>0.12</f>
        <v>0.12</v>
      </c>
      <c r="I151" s="41">
        <f>0.26</f>
        <v>0.26</v>
      </c>
      <c r="J151" s="41">
        <f>0.73</f>
        <v>0.73</v>
      </c>
      <c r="K151" s="18" t="str">
        <f t="shared" si="20"/>
        <v>IN</v>
      </c>
      <c r="L151" s="18" t="str">
        <f t="shared" si="19"/>
        <v>7323990090</v>
      </c>
    </row>
    <row r="152" spans="2:12">
      <c r="B152" s="20" t="s">
        <v>455</v>
      </c>
      <c r="C152" s="18" t="str">
        <f>"Form Milk Jug SS"</f>
        <v>Form Milk Jug SS</v>
      </c>
      <c r="D152" s="43">
        <f>60</f>
        <v>60</v>
      </c>
      <c r="E152" s="19">
        <f>4</f>
        <v>4</v>
      </c>
      <c r="F152" s="18" t="str">
        <f>"5056194501712"</f>
        <v>5056194501712</v>
      </c>
      <c r="G152" s="41">
        <f>0.08</f>
        <v>0.08</v>
      </c>
      <c r="H152" s="41">
        <f>0.08</f>
        <v>0.08</v>
      </c>
      <c r="I152" s="41">
        <f>0.1</f>
        <v>0.1</v>
      </c>
      <c r="J152" s="41">
        <f>0.31</f>
        <v>0.31</v>
      </c>
      <c r="K152" s="18" t="str">
        <f t="shared" si="20"/>
        <v>IN</v>
      </c>
      <c r="L152" s="18" t="str">
        <f t="shared" si="19"/>
        <v>7323990090</v>
      </c>
    </row>
    <row r="153" spans="2:12">
      <c r="B153" s="22" t="s">
        <v>454</v>
      </c>
      <c r="C153" s="18" t="str">
        <f>"Block Vessel"</f>
        <v>Block Vessel</v>
      </c>
      <c r="D153" s="43">
        <f>160</f>
        <v>160</v>
      </c>
      <c r="E153" s="19">
        <f>4</f>
        <v>4</v>
      </c>
      <c r="F153" s="18" t="str">
        <f>"5056194502542"</f>
        <v>5056194502542</v>
      </c>
      <c r="G153" s="41">
        <f>0.3</f>
        <v>0.3</v>
      </c>
      <c r="H153" s="41">
        <f>0.2</f>
        <v>0.2</v>
      </c>
      <c r="I153" s="41">
        <f>0.14</f>
        <v>0.14000000000000001</v>
      </c>
      <c r="J153" s="41">
        <f>1.3</f>
        <v>1.3</v>
      </c>
      <c r="K153" s="18" t="str">
        <f>"PT"</f>
        <v>PT</v>
      </c>
      <c r="L153" s="18" t="str">
        <f>"6912002510"</f>
        <v>6912002510</v>
      </c>
    </row>
    <row r="154" spans="2:12">
      <c r="B154" s="22" t="s">
        <v>453</v>
      </c>
      <c r="C154" s="18" t="str">
        <f>"Block Bowl"</f>
        <v>Block Bowl</v>
      </c>
      <c r="D154" s="43">
        <f>185</f>
        <v>185</v>
      </c>
      <c r="E154" s="19">
        <f>2</f>
        <v>2</v>
      </c>
      <c r="F154" s="18" t="str">
        <f>"5056194502566"</f>
        <v>5056194502566</v>
      </c>
      <c r="G154" s="41">
        <f>0.16</f>
        <v>0.16</v>
      </c>
      <c r="H154" s="41">
        <f>0.32</f>
        <v>0.32</v>
      </c>
      <c r="I154" s="41">
        <f>0.32</f>
        <v>0.32</v>
      </c>
      <c r="J154" s="41">
        <f>2.1</f>
        <v>2.1</v>
      </c>
      <c r="K154" s="18" t="str">
        <f>"PT"</f>
        <v>PT</v>
      </c>
      <c r="L154" s="18" t="str">
        <f>"6912002510"</f>
        <v>6912002510</v>
      </c>
    </row>
    <row r="155" spans="2:12">
      <c r="B155" s="22" t="s">
        <v>452</v>
      </c>
      <c r="C155" s="18" t="str">
        <f>"Block Jug"</f>
        <v>Block Jug</v>
      </c>
      <c r="D155" s="43">
        <f>185</f>
        <v>185</v>
      </c>
      <c r="E155" s="19">
        <f>2</f>
        <v>2</v>
      </c>
      <c r="F155" s="18" t="str">
        <f>"5056194502580"</f>
        <v>5056194502580</v>
      </c>
      <c r="G155" s="41">
        <f>0.37</f>
        <v>0.37</v>
      </c>
      <c r="H155" s="41">
        <f>0.21</f>
        <v>0.21</v>
      </c>
      <c r="I155" s="41">
        <f>0.16</f>
        <v>0.16</v>
      </c>
      <c r="J155" s="41">
        <f>2</f>
        <v>2</v>
      </c>
      <c r="K155" s="18" t="str">
        <f>"PT"</f>
        <v>PT</v>
      </c>
      <c r="L155" s="18" t="str">
        <f>"6912002510"</f>
        <v>6912002510</v>
      </c>
    </row>
    <row r="156" spans="2:12">
      <c r="B156" s="22" t="s">
        <v>451</v>
      </c>
      <c r="C156" s="18" t="str">
        <f>"Block Large Vase"</f>
        <v>Block Large Vase</v>
      </c>
      <c r="D156" s="43">
        <f>270</f>
        <v>270</v>
      </c>
      <c r="E156" s="19">
        <f>1</f>
        <v>1</v>
      </c>
      <c r="F156" s="18" t="str">
        <f>"5056194502603"</f>
        <v>5056194502603</v>
      </c>
      <c r="G156" s="41">
        <f>0.6</f>
        <v>0.6</v>
      </c>
      <c r="H156" s="41">
        <f>0.24</f>
        <v>0.24</v>
      </c>
      <c r="I156" s="41">
        <f>0.24</f>
        <v>0.24</v>
      </c>
      <c r="J156" s="41">
        <f>4.2</f>
        <v>4.2</v>
      </c>
      <c r="K156" s="18" t="str">
        <f>"PT"</f>
        <v>PT</v>
      </c>
      <c r="L156" s="18" t="str">
        <f>"6912002510"</f>
        <v>6912002510</v>
      </c>
    </row>
    <row r="157" spans="2:12">
      <c r="B157" s="20" t="s">
        <v>450</v>
      </c>
      <c r="C157" s="18" t="str">
        <f>"Carved Stem Vase S/2 Black"</f>
        <v>Carved Stem Vase S/2 Black</v>
      </c>
      <c r="D157" s="43">
        <f>100</f>
        <v>100</v>
      </c>
      <c r="E157" s="19">
        <f>6</f>
        <v>6</v>
      </c>
      <c r="F157" s="18" t="str">
        <f>"5056194501873"</f>
        <v>5056194501873</v>
      </c>
      <c r="G157" s="41">
        <f>0.24</f>
        <v>0.24</v>
      </c>
      <c r="H157" s="41">
        <f>0.13</f>
        <v>0.13</v>
      </c>
      <c r="I157" s="41">
        <f>0.15</f>
        <v>0.15</v>
      </c>
      <c r="J157" s="41">
        <f>0.96</f>
        <v>0.96</v>
      </c>
      <c r="K157" s="18" t="str">
        <f t="shared" ref="K157:K164" si="21">"IN"</f>
        <v>IN</v>
      </c>
      <c r="L157" s="18" t="str">
        <f t="shared" ref="L157:L164" si="22">"7013375100"</f>
        <v>7013375100</v>
      </c>
    </row>
    <row r="158" spans="2:12">
      <c r="B158" s="20" t="s">
        <v>449</v>
      </c>
      <c r="C158" s="18" t="str">
        <f>"Carved Stem Vase S/2 White"</f>
        <v>Carved Stem Vase S/2 White</v>
      </c>
      <c r="D158" s="43">
        <f>100</f>
        <v>100</v>
      </c>
      <c r="E158" s="19">
        <f>6</f>
        <v>6</v>
      </c>
      <c r="F158" s="18" t="str">
        <f>"5056194501897"</f>
        <v>5056194501897</v>
      </c>
      <c r="G158" s="41">
        <f>0.24</f>
        <v>0.24</v>
      </c>
      <c r="H158" s="41">
        <f>0.13</f>
        <v>0.13</v>
      </c>
      <c r="I158" s="41">
        <f>0.15</f>
        <v>0.15</v>
      </c>
      <c r="J158" s="41">
        <f>0.96</f>
        <v>0.96</v>
      </c>
      <c r="K158" s="18" t="str">
        <f t="shared" si="21"/>
        <v>IN</v>
      </c>
      <c r="L158" s="18" t="str">
        <f t="shared" si="22"/>
        <v>7013375100</v>
      </c>
    </row>
    <row r="159" spans="2:12">
      <c r="B159" s="20" t="s">
        <v>448</v>
      </c>
      <c r="C159" s="18" t="str">
        <f>"Carved Vase Small Black"</f>
        <v>Carved Vase Small Black</v>
      </c>
      <c r="D159" s="43">
        <f>110</f>
        <v>110</v>
      </c>
      <c r="E159" s="19">
        <f>6</f>
        <v>6</v>
      </c>
      <c r="F159" s="18" t="str">
        <f>"5056194501910"</f>
        <v>5056194501910</v>
      </c>
      <c r="G159" s="41">
        <f>0.29</f>
        <v>0.28999999999999998</v>
      </c>
      <c r="H159" s="41">
        <f>0.12</f>
        <v>0.12</v>
      </c>
      <c r="I159" s="41">
        <f>0.12</f>
        <v>0.12</v>
      </c>
      <c r="J159" s="41">
        <f>0.8</f>
        <v>0.8</v>
      </c>
      <c r="K159" s="18" t="str">
        <f t="shared" si="21"/>
        <v>IN</v>
      </c>
      <c r="L159" s="18" t="str">
        <f t="shared" si="22"/>
        <v>7013375100</v>
      </c>
    </row>
    <row r="160" spans="2:12">
      <c r="B160" s="20" t="s">
        <v>447</v>
      </c>
      <c r="C160" s="18" t="str">
        <f>"Carved Vase Small White"</f>
        <v>Carved Vase Small White</v>
      </c>
      <c r="D160" s="43">
        <f>110</f>
        <v>110</v>
      </c>
      <c r="E160" s="19">
        <f>6</f>
        <v>6</v>
      </c>
      <c r="F160" s="18" t="str">
        <f>"5056194501934"</f>
        <v>5056194501934</v>
      </c>
      <c r="G160" s="41">
        <f>0.29</f>
        <v>0.28999999999999998</v>
      </c>
      <c r="H160" s="41">
        <f>0.12</f>
        <v>0.12</v>
      </c>
      <c r="I160" s="41">
        <f>0.12</f>
        <v>0.12</v>
      </c>
      <c r="J160" s="41">
        <f>0.8</f>
        <v>0.8</v>
      </c>
      <c r="K160" s="18" t="str">
        <f t="shared" si="21"/>
        <v>IN</v>
      </c>
      <c r="L160" s="18" t="str">
        <f t="shared" si="22"/>
        <v>7013375100</v>
      </c>
    </row>
    <row r="161" spans="2:12">
      <c r="B161" s="20" t="s">
        <v>446</v>
      </c>
      <c r="C161" s="18" t="str">
        <f>"Carved Bowl Black"</f>
        <v>Carved Bowl Black</v>
      </c>
      <c r="D161" s="43">
        <f>210</f>
        <v>210</v>
      </c>
      <c r="E161" s="19">
        <f>4</f>
        <v>4</v>
      </c>
      <c r="F161" s="18" t="str">
        <f>"5056194501958"</f>
        <v>5056194501958</v>
      </c>
      <c r="G161" s="41">
        <f>0.12</f>
        <v>0.12</v>
      </c>
      <c r="H161" s="41">
        <f>0.28</f>
        <v>0.28000000000000003</v>
      </c>
      <c r="I161" s="41">
        <f>0.28</f>
        <v>0.28000000000000003</v>
      </c>
      <c r="J161" s="41">
        <f>3.2</f>
        <v>3.2</v>
      </c>
      <c r="K161" s="18" t="str">
        <f t="shared" si="21"/>
        <v>IN</v>
      </c>
      <c r="L161" s="18" t="str">
        <f t="shared" si="22"/>
        <v>7013375100</v>
      </c>
    </row>
    <row r="162" spans="2:12">
      <c r="B162" s="20" t="s">
        <v>445</v>
      </c>
      <c r="C162" s="18" t="str">
        <f>"Carved Bowl White"</f>
        <v>Carved Bowl White</v>
      </c>
      <c r="D162" s="43">
        <f>210</f>
        <v>210</v>
      </c>
      <c r="E162" s="19">
        <f>4</f>
        <v>4</v>
      </c>
      <c r="F162" s="18" t="str">
        <f>"5056194501972"</f>
        <v>5056194501972</v>
      </c>
      <c r="G162" s="41">
        <f>0.12</f>
        <v>0.12</v>
      </c>
      <c r="H162" s="41">
        <f>0.28</f>
        <v>0.28000000000000003</v>
      </c>
      <c r="I162" s="41">
        <f>0.28</f>
        <v>0.28000000000000003</v>
      </c>
      <c r="J162" s="41">
        <f>3.2</f>
        <v>3.2</v>
      </c>
      <c r="K162" s="18" t="str">
        <f t="shared" si="21"/>
        <v>IN</v>
      </c>
      <c r="L162" s="18" t="str">
        <f t="shared" si="22"/>
        <v>7013375100</v>
      </c>
    </row>
    <row r="163" spans="2:12">
      <c r="B163" s="20" t="s">
        <v>444</v>
      </c>
      <c r="C163" s="18" t="str">
        <f>"Carved Vase Tall White"</f>
        <v>Carved Vase Tall White</v>
      </c>
      <c r="D163" s="43">
        <f>240</f>
        <v>240</v>
      </c>
      <c r="E163" s="19">
        <f>4</f>
        <v>4</v>
      </c>
      <c r="F163" s="18" t="str">
        <f>"5056194501996"</f>
        <v>5056194501996</v>
      </c>
      <c r="G163" s="41">
        <f>0.2</f>
        <v>0.2</v>
      </c>
      <c r="H163" s="41">
        <f>0.2</f>
        <v>0.2</v>
      </c>
      <c r="I163" s="41">
        <f>0.45</f>
        <v>0.45</v>
      </c>
      <c r="J163" s="41">
        <f>2.72</f>
        <v>2.72</v>
      </c>
      <c r="K163" s="18" t="str">
        <f t="shared" si="21"/>
        <v>IN</v>
      </c>
      <c r="L163" s="18" t="str">
        <f t="shared" si="22"/>
        <v>7013375100</v>
      </c>
    </row>
    <row r="164" spans="2:12">
      <c r="B164" s="21" t="s">
        <v>443</v>
      </c>
      <c r="C164" s="18" t="str">
        <f>"Carved Vase Medium Black"</f>
        <v>Carved Vase Medium Black</v>
      </c>
      <c r="D164" s="43">
        <f>250</f>
        <v>250</v>
      </c>
      <c r="E164" s="19">
        <f>4</f>
        <v>4</v>
      </c>
      <c r="F164" s="18" t="str">
        <f>"5056194502016"</f>
        <v>5056194502016</v>
      </c>
      <c r="G164" s="41">
        <f>0.38</f>
        <v>0.38</v>
      </c>
      <c r="H164" s="41">
        <f>0.25</f>
        <v>0.25</v>
      </c>
      <c r="I164" s="41">
        <f>0.26</f>
        <v>0.26</v>
      </c>
      <c r="J164" s="41">
        <f>3.95</f>
        <v>3.95</v>
      </c>
      <c r="K164" s="18" t="str">
        <f t="shared" si="21"/>
        <v>IN</v>
      </c>
      <c r="L164" s="18" t="str">
        <f t="shared" si="22"/>
        <v>7013375100</v>
      </c>
    </row>
    <row r="165" spans="2:12">
      <c r="B165" s="21" t="s">
        <v>442</v>
      </c>
      <c r="C165" s="18" t="str">
        <f>"Soft Cushion 43x43cm Ochre"</f>
        <v>Soft Cushion 43x43cm Ochre</v>
      </c>
      <c r="D165" s="43">
        <f>170</f>
        <v>170</v>
      </c>
      <c r="E165" s="19">
        <f>4</f>
        <v>4</v>
      </c>
      <c r="F165" s="18" t="str">
        <f>"5056194502030"</f>
        <v>5056194502030</v>
      </c>
      <c r="G165" s="41">
        <f>0.12</f>
        <v>0.12</v>
      </c>
      <c r="H165" s="41">
        <f t="shared" ref="H165:I172" si="23">0.45</f>
        <v>0.45</v>
      </c>
      <c r="I165" s="41">
        <f t="shared" si="23"/>
        <v>0.45</v>
      </c>
      <c r="J165" s="41">
        <f>1.2</f>
        <v>1.2</v>
      </c>
      <c r="K165" s="18" t="str">
        <f>"GB"</f>
        <v>GB</v>
      </c>
      <c r="L165" s="18" t="str">
        <f t="shared" ref="L165:L179" si="24">"9404901000"</f>
        <v>9404901000</v>
      </c>
    </row>
    <row r="166" spans="2:12">
      <c r="B166" s="21" t="s">
        <v>441</v>
      </c>
      <c r="C166" s="18" t="str">
        <f>"Soft Cushion 43x43cm Pink"</f>
        <v>Soft Cushion 43x43cm Pink</v>
      </c>
      <c r="D166" s="43">
        <f>170</f>
        <v>170</v>
      </c>
      <c r="E166" s="19">
        <f>4</f>
        <v>4</v>
      </c>
      <c r="F166" s="18" t="str">
        <f>"5056194502061"</f>
        <v>5056194502061</v>
      </c>
      <c r="G166" s="41">
        <f>0.12</f>
        <v>0.12</v>
      </c>
      <c r="H166" s="41">
        <f t="shared" si="23"/>
        <v>0.45</v>
      </c>
      <c r="I166" s="41">
        <f t="shared" si="23"/>
        <v>0.45</v>
      </c>
      <c r="J166" s="41">
        <f>1.2</f>
        <v>1.2</v>
      </c>
      <c r="K166" s="18" t="str">
        <f>"GB"</f>
        <v>GB</v>
      </c>
      <c r="L166" s="18" t="str">
        <f t="shared" si="24"/>
        <v>9404901000</v>
      </c>
    </row>
    <row r="167" spans="2:12">
      <c r="B167" s="21" t="s">
        <v>440</v>
      </c>
      <c r="C167" s="18" t="str">
        <f>"Soft Cushion 43 x 43cm Wine"</f>
        <v>Soft Cushion 43 x 43cm Wine</v>
      </c>
      <c r="D167" s="43">
        <f>170</f>
        <v>170</v>
      </c>
      <c r="E167" s="19">
        <f>4</f>
        <v>4</v>
      </c>
      <c r="F167" s="18" t="str">
        <f>"5056194502092"</f>
        <v>5056194502092</v>
      </c>
      <c r="G167" s="41">
        <f>0.12</f>
        <v>0.12</v>
      </c>
      <c r="H167" s="41">
        <f t="shared" si="23"/>
        <v>0.45</v>
      </c>
      <c r="I167" s="41">
        <f t="shared" si="23"/>
        <v>0.45</v>
      </c>
      <c r="J167" s="41">
        <f>1.2</f>
        <v>1.2</v>
      </c>
      <c r="K167" s="18" t="str">
        <f>"GB"</f>
        <v>GB</v>
      </c>
      <c r="L167" s="18" t="str">
        <f t="shared" si="24"/>
        <v>9404901000</v>
      </c>
    </row>
    <row r="168" spans="2:12">
      <c r="B168" s="21" t="s">
        <v>439</v>
      </c>
      <c r="C168" s="18" t="str">
        <f>"Soft Cushion 43 x 43cm Khaki"</f>
        <v>Soft Cushion 43 x 43cm Khaki</v>
      </c>
      <c r="D168" s="43">
        <f>170</f>
        <v>170</v>
      </c>
      <c r="E168" s="19">
        <f>4</f>
        <v>4</v>
      </c>
      <c r="F168" s="18" t="str">
        <f>"5056194502122"</f>
        <v>5056194502122</v>
      </c>
      <c r="G168" s="41">
        <f>0.12</f>
        <v>0.12</v>
      </c>
      <c r="H168" s="41">
        <f t="shared" si="23"/>
        <v>0.45</v>
      </c>
      <c r="I168" s="41">
        <f t="shared" si="23"/>
        <v>0.45</v>
      </c>
      <c r="J168" s="41">
        <f>1.2</f>
        <v>1.2</v>
      </c>
      <c r="K168" s="18" t="str">
        <f>"GB"</f>
        <v>GB</v>
      </c>
      <c r="L168" s="18" t="str">
        <f t="shared" si="24"/>
        <v>9404901000</v>
      </c>
    </row>
    <row r="169" spans="2:12">
      <c r="B169" s="21" t="s">
        <v>438</v>
      </c>
      <c r="C169" s="18" t="str">
        <f>"Soft Cushion 43 x 43cm Blue"</f>
        <v>Soft Cushion 43 x 43cm Blue</v>
      </c>
      <c r="D169" s="43">
        <f>170</f>
        <v>170</v>
      </c>
      <c r="E169" s="19">
        <f>4</f>
        <v>4</v>
      </c>
      <c r="F169" s="18" t="str">
        <f>"5056194502153"</f>
        <v>5056194502153</v>
      </c>
      <c r="G169" s="41">
        <f>0.12</f>
        <v>0.12</v>
      </c>
      <c r="H169" s="41">
        <f t="shared" si="23"/>
        <v>0.45</v>
      </c>
      <c r="I169" s="41">
        <f t="shared" si="23"/>
        <v>0.45</v>
      </c>
      <c r="J169" s="41">
        <f>1.2</f>
        <v>1.2</v>
      </c>
      <c r="K169" s="18" t="str">
        <f>"GB"</f>
        <v>GB</v>
      </c>
      <c r="L169" s="18" t="str">
        <f t="shared" si="24"/>
        <v>9404901000</v>
      </c>
    </row>
    <row r="170" spans="2:12">
      <c r="B170" s="21" t="s">
        <v>437</v>
      </c>
      <c r="C170" s="18" t="str">
        <f>"Abstract Grey Cushion 45x45cm"</f>
        <v>Abstract Grey Cushion 45x45cm</v>
      </c>
      <c r="D170" s="43">
        <f>130</f>
        <v>130</v>
      </c>
      <c r="E170" s="19">
        <f>4</f>
        <v>4</v>
      </c>
      <c r="F170" s="18" t="str">
        <f>"5056194502191"</f>
        <v>5056194502191</v>
      </c>
      <c r="G170" s="41">
        <f>0.13</f>
        <v>0.13</v>
      </c>
      <c r="H170" s="41">
        <f t="shared" si="23"/>
        <v>0.45</v>
      </c>
      <c r="I170" s="41">
        <f t="shared" si="23"/>
        <v>0.45</v>
      </c>
      <c r="J170" s="41">
        <f>1.8</f>
        <v>1.8</v>
      </c>
      <c r="K170" s="18" t="str">
        <f>"IN"</f>
        <v>IN</v>
      </c>
      <c r="L170" s="18" t="str">
        <f t="shared" si="24"/>
        <v>9404901000</v>
      </c>
    </row>
    <row r="171" spans="2:12">
      <c r="B171" s="21" t="s">
        <v>436</v>
      </c>
      <c r="C171" s="18" t="str">
        <f>"Abstract Nat Cushion 45x45cm"</f>
        <v>Abstract Nat Cushion 45x45cm</v>
      </c>
      <c r="D171" s="43">
        <f>130</f>
        <v>130</v>
      </c>
      <c r="E171" s="19">
        <f>4</f>
        <v>4</v>
      </c>
      <c r="F171" s="18" t="str">
        <f>"5056194502238"</f>
        <v>5056194502238</v>
      </c>
      <c r="G171" s="41">
        <f>0.13</f>
        <v>0.13</v>
      </c>
      <c r="H171" s="41">
        <f t="shared" si="23"/>
        <v>0.45</v>
      </c>
      <c r="I171" s="41">
        <f t="shared" si="23"/>
        <v>0.45</v>
      </c>
      <c r="J171" s="41">
        <f>1.8</f>
        <v>1.8</v>
      </c>
      <c r="K171" s="18" t="str">
        <f>"IN"</f>
        <v>IN</v>
      </c>
      <c r="L171" s="18" t="str">
        <f t="shared" si="24"/>
        <v>9404901000</v>
      </c>
    </row>
    <row r="172" spans="2:12">
      <c r="B172" s="21" t="s">
        <v>435</v>
      </c>
      <c r="C172" s="18" t="str">
        <f>"Stitch Cushion 45 x 45cm"</f>
        <v>Stitch Cushion 45 x 45cm</v>
      </c>
      <c r="D172" s="43">
        <f>100</f>
        <v>100</v>
      </c>
      <c r="E172" s="19">
        <f>4</f>
        <v>4</v>
      </c>
      <c r="F172" s="18" t="str">
        <f>"5056194502276"</f>
        <v>5056194502276</v>
      </c>
      <c r="G172" s="41">
        <f>0.12</f>
        <v>0.12</v>
      </c>
      <c r="H172" s="41">
        <f t="shared" si="23"/>
        <v>0.45</v>
      </c>
      <c r="I172" s="41">
        <f t="shared" si="23"/>
        <v>0.45</v>
      </c>
      <c r="J172" s="41">
        <f>0.84</f>
        <v>0.84</v>
      </c>
      <c r="K172" s="18" t="str">
        <f>"IN"</f>
        <v>IN</v>
      </c>
      <c r="L172" s="18" t="str">
        <f t="shared" si="24"/>
        <v>9404901000</v>
      </c>
    </row>
    <row r="173" spans="2:12">
      <c r="B173" s="21" t="s">
        <v>434</v>
      </c>
      <c r="C173" s="18" t="str">
        <f>"Stitch Cushion 60 x 60cm"</f>
        <v>Stitch Cushion 60 x 60cm</v>
      </c>
      <c r="D173" s="43">
        <f>190</f>
        <v>190</v>
      </c>
      <c r="E173" s="19">
        <f>2</f>
        <v>2</v>
      </c>
      <c r="F173" s="18" t="str">
        <f>"5056194502313"</f>
        <v>5056194502313</v>
      </c>
      <c r="G173" s="41">
        <f>0.12</f>
        <v>0.12</v>
      </c>
      <c r="H173" s="41">
        <f>0.6</f>
        <v>0.6</v>
      </c>
      <c r="I173" s="41">
        <f>0.6</f>
        <v>0.6</v>
      </c>
      <c r="J173" s="41">
        <f>1.5</f>
        <v>1.5</v>
      </c>
      <c r="K173" s="18" t="str">
        <f>"IN"</f>
        <v>IN</v>
      </c>
      <c r="L173" s="18" t="str">
        <f t="shared" si="24"/>
        <v>9404901000</v>
      </c>
    </row>
    <row r="174" spans="2:12">
      <c r="B174" s="21" t="s">
        <v>433</v>
      </c>
      <c r="C174" s="18" t="str">
        <f>"Stitch Throw"</f>
        <v>Stitch Throw</v>
      </c>
      <c r="D174" s="43">
        <f>390</f>
        <v>390</v>
      </c>
      <c r="E174" s="19">
        <f>1</f>
        <v>1</v>
      </c>
      <c r="F174" s="18" t="str">
        <f>"5056194502344"</f>
        <v>5056194502344</v>
      </c>
      <c r="G174" s="41">
        <f>0.08</f>
        <v>0.08</v>
      </c>
      <c r="H174" s="41">
        <f>0.4</f>
        <v>0.4</v>
      </c>
      <c r="I174" s="41">
        <f>0.33</f>
        <v>0.33</v>
      </c>
      <c r="J174" s="41">
        <f>1.8</f>
        <v>1.8</v>
      </c>
      <c r="K174" s="18" t="str">
        <f>"IN"</f>
        <v>IN</v>
      </c>
      <c r="L174" s="18" t="str">
        <f t="shared" si="24"/>
        <v>9404901000</v>
      </c>
    </row>
    <row r="175" spans="2:12">
      <c r="B175" s="21" t="s">
        <v>432</v>
      </c>
      <c r="C175" s="18" t="str">
        <f>"Dash Throw"</f>
        <v>Dash Throw</v>
      </c>
      <c r="D175" s="43">
        <f>370</f>
        <v>370</v>
      </c>
      <c r="E175" s="19">
        <f>1</f>
        <v>1</v>
      </c>
      <c r="F175" s="18" t="str">
        <f>"5056194502405"</f>
        <v>5056194502405</v>
      </c>
      <c r="G175" s="41">
        <f>0.26</f>
        <v>0.26</v>
      </c>
      <c r="H175" s="41">
        <f>0.34</f>
        <v>0.34</v>
      </c>
      <c r="I175" s="41">
        <f>0.08</f>
        <v>0.08</v>
      </c>
      <c r="J175" s="41">
        <f>1.8</f>
        <v>1.8</v>
      </c>
      <c r="K175" s="18" t="str">
        <f>"PT"</f>
        <v>PT</v>
      </c>
      <c r="L175" s="18" t="str">
        <f t="shared" si="24"/>
        <v>9404901000</v>
      </c>
    </row>
    <row r="176" spans="2:12">
      <c r="B176" s="21" t="s">
        <v>431</v>
      </c>
      <c r="C176" s="18" t="str">
        <f>"Dash Cushion 45 x 45cm"</f>
        <v>Dash Cushion 45 x 45cm</v>
      </c>
      <c r="D176" s="43">
        <f>130</f>
        <v>130</v>
      </c>
      <c r="E176" s="19">
        <f>4</f>
        <v>4</v>
      </c>
      <c r="F176" s="18" t="str">
        <f>"5056194502375"</f>
        <v>5056194502375</v>
      </c>
      <c r="G176" s="41">
        <f>0.13</f>
        <v>0.13</v>
      </c>
      <c r="H176" s="41">
        <f>0.45</f>
        <v>0.45</v>
      </c>
      <c r="I176" s="41">
        <f>0.45</f>
        <v>0.45</v>
      </c>
      <c r="J176" s="41">
        <f>0.78</f>
        <v>0.78</v>
      </c>
      <c r="K176" s="18" t="str">
        <f>"PT"</f>
        <v>PT</v>
      </c>
      <c r="L176" s="18" t="str">
        <f t="shared" si="24"/>
        <v>9404901000</v>
      </c>
    </row>
    <row r="177" spans="2:12">
      <c r="B177" s="21" t="s">
        <v>430</v>
      </c>
      <c r="C177" s="18" t="str">
        <f>"Blot Cushion 40 x 60cm"</f>
        <v>Blot Cushion 40 x 60cm</v>
      </c>
      <c r="D177" s="43">
        <f>100</f>
        <v>100</v>
      </c>
      <c r="E177" s="19">
        <f>4</f>
        <v>4</v>
      </c>
      <c r="F177" s="18" t="str">
        <f>"5056194502467"</f>
        <v>5056194502467</v>
      </c>
      <c r="G177" s="41">
        <f>0.12</f>
        <v>0.12</v>
      </c>
      <c r="H177" s="41">
        <f>0.4</f>
        <v>0.4</v>
      </c>
      <c r="I177" s="41">
        <f>0.6</f>
        <v>0.6</v>
      </c>
      <c r="J177" s="41">
        <f>1.2</f>
        <v>1.2</v>
      </c>
      <c r="K177" s="18" t="str">
        <f>"GB"</f>
        <v>GB</v>
      </c>
      <c r="L177" s="18" t="str">
        <f t="shared" si="24"/>
        <v>9404901000</v>
      </c>
    </row>
    <row r="178" spans="2:12">
      <c r="B178" s="21" t="s">
        <v>429</v>
      </c>
      <c r="C178" s="18" t="str">
        <f>"Blot Cushion 45 x 45cm"</f>
        <v>Blot Cushion 45 x 45cm</v>
      </c>
      <c r="D178" s="43">
        <f>80</f>
        <v>80</v>
      </c>
      <c r="E178" s="19">
        <f>4</f>
        <v>4</v>
      </c>
      <c r="F178" s="18" t="str">
        <f>"5056194502436"</f>
        <v>5056194502436</v>
      </c>
      <c r="G178" s="41">
        <f>0.12</f>
        <v>0.12</v>
      </c>
      <c r="H178" s="41">
        <f>0.45</f>
        <v>0.45</v>
      </c>
      <c r="I178" s="41">
        <f>0.45</f>
        <v>0.45</v>
      </c>
      <c r="J178" s="41">
        <f>0.75</f>
        <v>0.75</v>
      </c>
      <c r="K178" s="18" t="str">
        <f>"GB"</f>
        <v>GB</v>
      </c>
      <c r="L178" s="18" t="str">
        <f t="shared" si="24"/>
        <v>9404901000</v>
      </c>
    </row>
    <row r="179" spans="2:12">
      <c r="B179" s="21" t="s">
        <v>428</v>
      </c>
      <c r="C179" s="18" t="str">
        <f>"Blot Cushion 60 x 60cm"</f>
        <v>Blot Cushion 60 x 60cm</v>
      </c>
      <c r="D179" s="43">
        <f>130</f>
        <v>130</v>
      </c>
      <c r="E179" s="19">
        <f>2</f>
        <v>2</v>
      </c>
      <c r="F179" s="18" t="str">
        <f>"5056194502498"</f>
        <v>5056194502498</v>
      </c>
      <c r="G179" s="41">
        <f>0.12</f>
        <v>0.12</v>
      </c>
      <c r="H179" s="41">
        <f>0.6</f>
        <v>0.6</v>
      </c>
      <c r="I179" s="41">
        <f>0.6</f>
        <v>0.6</v>
      </c>
      <c r="J179" s="41">
        <f>1.5</f>
        <v>1.5</v>
      </c>
      <c r="K179" s="18" t="str">
        <f>"GB"</f>
        <v>GB</v>
      </c>
      <c r="L179" s="18" t="str">
        <f t="shared" si="24"/>
        <v>9404901000</v>
      </c>
    </row>
    <row r="180" spans="2:12">
      <c r="B180" s="21" t="s">
        <v>427</v>
      </c>
      <c r="C180" s="18" t="str">
        <f>"Swirl Stepped Bookends Set of 2"</f>
        <v>Swirl Stepped Bookends Set of 2</v>
      </c>
      <c r="D180" s="43">
        <f>230</f>
        <v>230</v>
      </c>
      <c r="E180" s="19">
        <f>2</f>
        <v>2</v>
      </c>
      <c r="F180" s="18" t="str">
        <f>"5056194502702"</f>
        <v>5056194502702</v>
      </c>
      <c r="G180" s="41">
        <f>0</f>
        <v>0</v>
      </c>
      <c r="H180" s="41">
        <f>0</f>
        <v>0</v>
      </c>
      <c r="I180" s="41">
        <f>0</f>
        <v>0</v>
      </c>
      <c r="J180" s="41">
        <f>0</f>
        <v>0</v>
      </c>
      <c r="K180" s="18" t="str">
        <f t="shared" ref="K180:K186" si="25">"IN"</f>
        <v>IN</v>
      </c>
      <c r="L180" s="18" t="str">
        <f t="shared" ref="L180:L186" si="26">"680221100"</f>
        <v>680221100</v>
      </c>
    </row>
    <row r="181" spans="2:12">
      <c r="B181" s="21" t="s">
        <v>426</v>
      </c>
      <c r="C181" s="18" t="str">
        <f>"Swirl Black &amp; White Candelabra"</f>
        <v>Swirl Black &amp; White Candelabra</v>
      </c>
      <c r="D181" s="43">
        <f>290</f>
        <v>290</v>
      </c>
      <c r="E181" s="19">
        <f>2</f>
        <v>2</v>
      </c>
      <c r="F181" s="18" t="str">
        <f>"5056194502726"</f>
        <v>5056194502726</v>
      </c>
      <c r="G181" s="41">
        <f>0</f>
        <v>0</v>
      </c>
      <c r="H181" s="41">
        <f>0</f>
        <v>0</v>
      </c>
      <c r="I181" s="41">
        <f>0</f>
        <v>0</v>
      </c>
      <c r="J181" s="41">
        <f>0</f>
        <v>0</v>
      </c>
      <c r="K181" s="18" t="str">
        <f t="shared" si="25"/>
        <v>IN</v>
      </c>
      <c r="L181" s="18" t="str">
        <f t="shared" si="26"/>
        <v>680221100</v>
      </c>
    </row>
    <row r="182" spans="2:12">
      <c r="B182" s="21" t="s">
        <v>425</v>
      </c>
      <c r="C182" s="18" t="str">
        <f>"Swirl Multi Candelabra"</f>
        <v>Swirl Multi Candelabra</v>
      </c>
      <c r="D182" s="43">
        <f>340</f>
        <v>340</v>
      </c>
      <c r="E182" s="19">
        <f>2</f>
        <v>2</v>
      </c>
      <c r="F182" s="18" t="str">
        <f>"5056194502740"</f>
        <v>5056194502740</v>
      </c>
      <c r="G182" s="41">
        <f>0</f>
        <v>0</v>
      </c>
      <c r="H182" s="41">
        <f>0</f>
        <v>0</v>
      </c>
      <c r="I182" s="41">
        <f>0</f>
        <v>0</v>
      </c>
      <c r="J182" s="41">
        <f>0</f>
        <v>0</v>
      </c>
      <c r="K182" s="18" t="str">
        <f t="shared" si="25"/>
        <v>IN</v>
      </c>
      <c r="L182" s="18" t="str">
        <f t="shared" si="26"/>
        <v>680221100</v>
      </c>
    </row>
    <row r="183" spans="2:12">
      <c r="B183" s="21" t="s">
        <v>424</v>
      </c>
      <c r="C183" s="18" t="str">
        <f>"Swirl Stepped Candleholder"</f>
        <v>Swirl Stepped Candleholder</v>
      </c>
      <c r="D183" s="43">
        <f>140</f>
        <v>140</v>
      </c>
      <c r="E183" s="19">
        <f>4</f>
        <v>4</v>
      </c>
      <c r="F183" s="18" t="str">
        <f>"5056194502788"</f>
        <v>5056194502788</v>
      </c>
      <c r="G183" s="41">
        <f>0</f>
        <v>0</v>
      </c>
      <c r="H183" s="41">
        <f>0</f>
        <v>0</v>
      </c>
      <c r="I183" s="41">
        <f>0</f>
        <v>0</v>
      </c>
      <c r="J183" s="41">
        <f>0</f>
        <v>0</v>
      </c>
      <c r="K183" s="18" t="str">
        <f t="shared" si="25"/>
        <v>IN</v>
      </c>
      <c r="L183" s="18" t="str">
        <f t="shared" si="26"/>
        <v>680221100</v>
      </c>
    </row>
    <row r="184" spans="2:12">
      <c r="B184" s="21" t="s">
        <v>423</v>
      </c>
      <c r="C184" s="18" t="str">
        <f>"Swirl Cone Candleholder"</f>
        <v>Swirl Cone Candleholder</v>
      </c>
      <c r="D184" s="43">
        <f>140</f>
        <v>140</v>
      </c>
      <c r="E184" s="19">
        <f>4</f>
        <v>4</v>
      </c>
      <c r="F184" s="18" t="str">
        <f>"5056194502801"</f>
        <v>5056194502801</v>
      </c>
      <c r="G184" s="41">
        <f>0</f>
        <v>0</v>
      </c>
      <c r="H184" s="41">
        <f>0</f>
        <v>0</v>
      </c>
      <c r="I184" s="41">
        <f>0</f>
        <v>0</v>
      </c>
      <c r="J184" s="41">
        <f>0</f>
        <v>0</v>
      </c>
      <c r="K184" s="18" t="str">
        <f t="shared" si="25"/>
        <v>IN</v>
      </c>
      <c r="L184" s="18" t="str">
        <f t="shared" si="26"/>
        <v>680221100</v>
      </c>
    </row>
    <row r="185" spans="2:12">
      <c r="B185" s="21" t="s">
        <v>422</v>
      </c>
      <c r="C185" s="18" t="str">
        <f>"Swirl Dumbbell Candleholder"</f>
        <v>Swirl Dumbbell Candleholder</v>
      </c>
      <c r="D185" s="43">
        <f>140</f>
        <v>140</v>
      </c>
      <c r="E185" s="19">
        <f>4</f>
        <v>4</v>
      </c>
      <c r="F185" s="18" t="str">
        <f>"5056194502825"</f>
        <v>5056194502825</v>
      </c>
      <c r="G185" s="41">
        <f>0</f>
        <v>0</v>
      </c>
      <c r="H185" s="41">
        <f>0</f>
        <v>0</v>
      </c>
      <c r="I185" s="41">
        <f>0</f>
        <v>0</v>
      </c>
      <c r="J185" s="41">
        <f>0</f>
        <v>0</v>
      </c>
      <c r="K185" s="18" t="str">
        <f t="shared" si="25"/>
        <v>IN</v>
      </c>
      <c r="L185" s="18" t="str">
        <f t="shared" si="26"/>
        <v>680221100</v>
      </c>
    </row>
    <row r="186" spans="2:12">
      <c r="B186" s="20" t="s">
        <v>421</v>
      </c>
      <c r="C186" s="18" t="str">
        <f>"Swirl Vase"</f>
        <v>Swirl Vase</v>
      </c>
      <c r="D186" s="43">
        <f>570</f>
        <v>570</v>
      </c>
      <c r="E186" s="19">
        <f>2</f>
        <v>2</v>
      </c>
      <c r="F186" s="18" t="str">
        <f>"5056194502764"</f>
        <v>5056194502764</v>
      </c>
      <c r="G186" s="41">
        <f>0</f>
        <v>0</v>
      </c>
      <c r="H186" s="41">
        <f>0</f>
        <v>0</v>
      </c>
      <c r="I186" s="41">
        <f>0</f>
        <v>0</v>
      </c>
      <c r="J186" s="41">
        <f>0</f>
        <v>0</v>
      </c>
      <c r="K186" s="18" t="str">
        <f t="shared" si="25"/>
        <v>IN</v>
      </c>
      <c r="L186" s="18" t="str">
        <f t="shared" si="26"/>
        <v>680221100</v>
      </c>
    </row>
    <row r="187" spans="2:12">
      <c r="B187" s="20" t="s">
        <v>420</v>
      </c>
      <c r="C187" s="18" t="str">
        <f>"London Hand Balm Tube 75ml"</f>
        <v>London Hand Balm Tube 75ml</v>
      </c>
      <c r="D187" s="43">
        <f>30</f>
        <v>30</v>
      </c>
      <c r="E187" s="19">
        <f>6</f>
        <v>6</v>
      </c>
      <c r="F187" s="18" t="str">
        <f>"5056194200059"</f>
        <v>5056194200059</v>
      </c>
      <c r="G187" s="41">
        <f>0.15</f>
        <v>0.15</v>
      </c>
      <c r="H187" s="41">
        <f t="shared" ref="H187:I189" si="27">0.05</f>
        <v>0.05</v>
      </c>
      <c r="I187" s="41">
        <f t="shared" si="27"/>
        <v>0.05</v>
      </c>
      <c r="J187" s="41">
        <f>0.075</f>
        <v>7.4999999999999997E-2</v>
      </c>
      <c r="K187" s="18" t="str">
        <f t="shared" ref="K187:K220" si="28">"GB"</f>
        <v>GB</v>
      </c>
      <c r="L187" s="18" t="str">
        <f t="shared" ref="L187:L210" si="29">"3304990000"</f>
        <v>3304990000</v>
      </c>
    </row>
    <row r="188" spans="2:12">
      <c r="B188" s="20" t="s">
        <v>419</v>
      </c>
      <c r="C188" s="18" t="str">
        <f>"Orientalist Hand Balm Tube75ml"</f>
        <v>Orientalist Hand Balm Tube75ml</v>
      </c>
      <c r="D188" s="43">
        <f>30</f>
        <v>30</v>
      </c>
      <c r="E188" s="19">
        <f>6</f>
        <v>6</v>
      </c>
      <c r="F188" s="18" t="str">
        <f>"5056194200073"</f>
        <v>5056194200073</v>
      </c>
      <c r="G188" s="41">
        <f>0.15</f>
        <v>0.15</v>
      </c>
      <c r="H188" s="41">
        <f t="shared" si="27"/>
        <v>0.05</v>
      </c>
      <c r="I188" s="41">
        <f t="shared" si="27"/>
        <v>0.05</v>
      </c>
      <c r="J188" s="41">
        <f>0.075</f>
        <v>7.4999999999999997E-2</v>
      </c>
      <c r="K188" s="18" t="str">
        <f t="shared" si="28"/>
        <v>GB</v>
      </c>
      <c r="L188" s="18" t="str">
        <f t="shared" si="29"/>
        <v>3304990000</v>
      </c>
    </row>
    <row r="189" spans="2:12">
      <c r="B189" s="20" t="s">
        <v>418</v>
      </c>
      <c r="C189" s="18" t="str">
        <f>"Royalty Hand Balm Tube 75ml"</f>
        <v>Royalty Hand Balm Tube 75ml</v>
      </c>
      <c r="D189" s="43">
        <f>30</f>
        <v>30</v>
      </c>
      <c r="E189" s="19">
        <f>6</f>
        <v>6</v>
      </c>
      <c r="F189" s="18" t="str">
        <f>"5056194200097"</f>
        <v>5056194200097</v>
      </c>
      <c r="G189" s="41">
        <f>0.15</f>
        <v>0.15</v>
      </c>
      <c r="H189" s="41">
        <f t="shared" si="27"/>
        <v>0.05</v>
      </c>
      <c r="I189" s="41">
        <f t="shared" si="27"/>
        <v>0.05</v>
      </c>
      <c r="J189" s="41">
        <f>0.075</f>
        <v>7.4999999999999997E-2</v>
      </c>
      <c r="K189" s="18" t="str">
        <f t="shared" si="28"/>
        <v>GB</v>
      </c>
      <c r="L189" s="18" t="str">
        <f t="shared" si="29"/>
        <v>3304990000</v>
      </c>
    </row>
    <row r="190" spans="2:12">
      <c r="B190" s="20" t="s">
        <v>417</v>
      </c>
      <c r="C190" s="18" t="str">
        <f>"London Shower Bath Oil 180ml"</f>
        <v>London Shower Bath Oil 180ml</v>
      </c>
      <c r="D190" s="43">
        <f>50</f>
        <v>50</v>
      </c>
      <c r="E190" s="19">
        <f>4</f>
        <v>4</v>
      </c>
      <c r="F190" s="18" t="str">
        <f>"5056194200448"</f>
        <v>5056194200448</v>
      </c>
      <c r="G190" s="41">
        <f>0.14</f>
        <v>0.14000000000000001</v>
      </c>
      <c r="H190" s="41">
        <f t="shared" ref="H190:I192" si="30">0.06</f>
        <v>0.06</v>
      </c>
      <c r="I190" s="41">
        <f t="shared" si="30"/>
        <v>0.06</v>
      </c>
      <c r="J190" s="41">
        <f>0.18</f>
        <v>0.18</v>
      </c>
      <c r="K190" s="18" t="str">
        <f t="shared" si="28"/>
        <v>GB</v>
      </c>
      <c r="L190" s="18" t="str">
        <f t="shared" si="29"/>
        <v>3304990000</v>
      </c>
    </row>
    <row r="191" spans="2:12">
      <c r="B191" s="20" t="s">
        <v>416</v>
      </c>
      <c r="C191" s="18" t="str">
        <f>"Orient Shower Bath Oil 180ml"</f>
        <v>Orient Shower Bath Oil 180ml</v>
      </c>
      <c r="D191" s="43">
        <f>50</f>
        <v>50</v>
      </c>
      <c r="E191" s="19">
        <f>4</f>
        <v>4</v>
      </c>
      <c r="F191" s="18" t="str">
        <f>"5056194200462"</f>
        <v>5056194200462</v>
      </c>
      <c r="G191" s="41">
        <f>0.14</f>
        <v>0.14000000000000001</v>
      </c>
      <c r="H191" s="41">
        <f t="shared" si="30"/>
        <v>0.06</v>
      </c>
      <c r="I191" s="41">
        <f t="shared" si="30"/>
        <v>0.06</v>
      </c>
      <c r="J191" s="41">
        <f>0.18</f>
        <v>0.18</v>
      </c>
      <c r="K191" s="18" t="str">
        <f t="shared" si="28"/>
        <v>GB</v>
      </c>
      <c r="L191" s="18" t="str">
        <f t="shared" si="29"/>
        <v>3304990000</v>
      </c>
    </row>
    <row r="192" spans="2:12">
      <c r="B192" s="20" t="s">
        <v>415</v>
      </c>
      <c r="C192" s="18" t="str">
        <f>"Royalty Shower Bath Oil 180ml"</f>
        <v>Royalty Shower Bath Oil 180ml</v>
      </c>
      <c r="D192" s="43">
        <f>50</f>
        <v>50</v>
      </c>
      <c r="E192" s="19">
        <f>4</f>
        <v>4</v>
      </c>
      <c r="F192" s="18" t="str">
        <f>"5056194200486"</f>
        <v>5056194200486</v>
      </c>
      <c r="G192" s="41">
        <f>0.14</f>
        <v>0.14000000000000001</v>
      </c>
      <c r="H192" s="41">
        <f t="shared" si="30"/>
        <v>0.06</v>
      </c>
      <c r="I192" s="41">
        <f t="shared" si="30"/>
        <v>0.06</v>
      </c>
      <c r="J192" s="41">
        <f>0.18</f>
        <v>0.18</v>
      </c>
      <c r="K192" s="18" t="str">
        <f t="shared" si="28"/>
        <v>GB</v>
      </c>
      <c r="L192" s="18" t="str">
        <f t="shared" si="29"/>
        <v>3304990000</v>
      </c>
    </row>
    <row r="193" spans="2:12">
      <c r="B193" s="20" t="s">
        <v>414</v>
      </c>
      <c r="C193" s="18" t="str">
        <f>"London Bath Salts 350g"</f>
        <v>London Bath Salts 350g</v>
      </c>
      <c r="D193" s="43">
        <f>40</f>
        <v>40</v>
      </c>
      <c r="E193" s="19">
        <f>6</f>
        <v>6</v>
      </c>
      <c r="F193" s="18" t="str">
        <f>"5056194200509"</f>
        <v>5056194200509</v>
      </c>
      <c r="G193" s="41">
        <f>0.19</f>
        <v>0.19</v>
      </c>
      <c r="H193" s="41">
        <f>0.13</f>
        <v>0.13</v>
      </c>
      <c r="I193" s="41">
        <f>0.06</f>
        <v>0.06</v>
      </c>
      <c r="J193" s="41">
        <f>0.35</f>
        <v>0.35</v>
      </c>
      <c r="K193" s="18" t="str">
        <f t="shared" si="28"/>
        <v>GB</v>
      </c>
      <c r="L193" s="18" t="str">
        <f t="shared" si="29"/>
        <v>3304990000</v>
      </c>
    </row>
    <row r="194" spans="2:12">
      <c r="B194" s="20" t="s">
        <v>413</v>
      </c>
      <c r="C194" s="18" t="str">
        <f>"Orientalist Bath Salts 350g"</f>
        <v>Orientalist Bath Salts 350g</v>
      </c>
      <c r="D194" s="43">
        <f>40</f>
        <v>40</v>
      </c>
      <c r="E194" s="19">
        <f>6</f>
        <v>6</v>
      </c>
      <c r="F194" s="18" t="str">
        <f>"5056194200523"</f>
        <v>5056194200523</v>
      </c>
      <c r="G194" s="41">
        <f>0.19</f>
        <v>0.19</v>
      </c>
      <c r="H194" s="41">
        <f>0.13</f>
        <v>0.13</v>
      </c>
      <c r="I194" s="41">
        <f>0.06</f>
        <v>0.06</v>
      </c>
      <c r="J194" s="41">
        <f>0.35</f>
        <v>0.35</v>
      </c>
      <c r="K194" s="18" t="str">
        <f t="shared" si="28"/>
        <v>GB</v>
      </c>
      <c r="L194" s="18" t="str">
        <f t="shared" si="29"/>
        <v>3304990000</v>
      </c>
    </row>
    <row r="195" spans="2:12">
      <c r="B195" s="20" t="s">
        <v>412</v>
      </c>
      <c r="C195" s="18" t="str">
        <f>"Royalty Bath Salts 350g"</f>
        <v>Royalty Bath Salts 350g</v>
      </c>
      <c r="D195" s="43">
        <f>40</f>
        <v>40</v>
      </c>
      <c r="E195" s="19">
        <f>6</f>
        <v>6</v>
      </c>
      <c r="F195" s="18" t="str">
        <f>"5056194200547"</f>
        <v>5056194200547</v>
      </c>
      <c r="G195" s="41">
        <f>0.19</f>
        <v>0.19</v>
      </c>
      <c r="H195" s="41">
        <f>0.13</f>
        <v>0.13</v>
      </c>
      <c r="I195" s="41">
        <f>0.06</f>
        <v>0.06</v>
      </c>
      <c r="J195" s="41">
        <f>0.35</f>
        <v>0.35</v>
      </c>
      <c r="K195" s="18" t="str">
        <f t="shared" si="28"/>
        <v>GB</v>
      </c>
      <c r="L195" s="18" t="str">
        <f t="shared" si="29"/>
        <v>3304990000</v>
      </c>
    </row>
    <row r="196" spans="2:12">
      <c r="B196" s="20" t="s">
        <v>411</v>
      </c>
      <c r="C196" s="18" t="str">
        <f>"London Body Wash 500ml"</f>
        <v>London Body Wash 500ml</v>
      </c>
      <c r="D196" s="43">
        <f>40</f>
        <v>40</v>
      </c>
      <c r="E196" s="19">
        <f>4</f>
        <v>4</v>
      </c>
      <c r="F196" s="18" t="str">
        <f>"5056194200561"</f>
        <v>5056194200561</v>
      </c>
      <c r="G196" s="41">
        <f>0.17</f>
        <v>0.17</v>
      </c>
      <c r="H196" s="41">
        <f t="shared" ref="H196:I198" si="31">0.075</f>
        <v>7.4999999999999997E-2</v>
      </c>
      <c r="I196" s="41">
        <f t="shared" si="31"/>
        <v>7.4999999999999997E-2</v>
      </c>
      <c r="J196" s="41">
        <f>0.5</f>
        <v>0.5</v>
      </c>
      <c r="K196" s="18" t="str">
        <f t="shared" si="28"/>
        <v>GB</v>
      </c>
      <c r="L196" s="18" t="str">
        <f t="shared" si="29"/>
        <v>3304990000</v>
      </c>
    </row>
    <row r="197" spans="2:12">
      <c r="B197" s="20" t="s">
        <v>410</v>
      </c>
      <c r="C197" s="18" t="str">
        <f>"Orientalist Body Wash 500ml"</f>
        <v>Orientalist Body Wash 500ml</v>
      </c>
      <c r="D197" s="43">
        <f>40</f>
        <v>40</v>
      </c>
      <c r="E197" s="19">
        <f>4</f>
        <v>4</v>
      </c>
      <c r="F197" s="18" t="str">
        <f>"5056194200585"</f>
        <v>5056194200585</v>
      </c>
      <c r="G197" s="41">
        <f>0.17</f>
        <v>0.17</v>
      </c>
      <c r="H197" s="41">
        <f t="shared" si="31"/>
        <v>7.4999999999999997E-2</v>
      </c>
      <c r="I197" s="41">
        <f t="shared" si="31"/>
        <v>7.4999999999999997E-2</v>
      </c>
      <c r="J197" s="41">
        <f>0.5</f>
        <v>0.5</v>
      </c>
      <c r="K197" s="18" t="str">
        <f t="shared" si="28"/>
        <v>GB</v>
      </c>
      <c r="L197" s="18" t="str">
        <f t="shared" si="29"/>
        <v>3304990000</v>
      </c>
    </row>
    <row r="198" spans="2:12">
      <c r="B198" s="20" t="s">
        <v>409</v>
      </c>
      <c r="C198" s="18" t="str">
        <f>"Royalty Body Wash 500ml"</f>
        <v>Royalty Body Wash 500ml</v>
      </c>
      <c r="D198" s="43">
        <f>40</f>
        <v>40</v>
      </c>
      <c r="E198" s="19">
        <f>4</f>
        <v>4</v>
      </c>
      <c r="F198" s="18" t="str">
        <f>"5056194200608"</f>
        <v>5056194200608</v>
      </c>
      <c r="G198" s="41">
        <f>0.17</f>
        <v>0.17</v>
      </c>
      <c r="H198" s="41">
        <f t="shared" si="31"/>
        <v>7.4999999999999997E-2</v>
      </c>
      <c r="I198" s="41">
        <f t="shared" si="31"/>
        <v>7.4999999999999997E-2</v>
      </c>
      <c r="J198" s="41">
        <f>0.5</f>
        <v>0.5</v>
      </c>
      <c r="K198" s="18" t="str">
        <f t="shared" si="28"/>
        <v>GB</v>
      </c>
      <c r="L198" s="18" t="str">
        <f t="shared" si="29"/>
        <v>3304990000</v>
      </c>
    </row>
    <row r="199" spans="2:12">
      <c r="B199" s="20" t="s">
        <v>408</v>
      </c>
      <c r="C199" s="18" t="str">
        <f>"London Body Wash 200ml"</f>
        <v>London Body Wash 200ml</v>
      </c>
      <c r="D199" s="43">
        <f>30</f>
        <v>30</v>
      </c>
      <c r="E199" s="19">
        <f>4</f>
        <v>4</v>
      </c>
      <c r="F199" s="18" t="str">
        <f>"5056194200622"</f>
        <v>5056194200622</v>
      </c>
      <c r="G199" s="41">
        <f>0.14</f>
        <v>0.14000000000000001</v>
      </c>
      <c r="H199" s="41">
        <f t="shared" ref="H199:I201" si="32">0.06</f>
        <v>0.06</v>
      </c>
      <c r="I199" s="41">
        <f t="shared" si="32"/>
        <v>0.06</v>
      </c>
      <c r="J199" s="41">
        <f>0.2</f>
        <v>0.2</v>
      </c>
      <c r="K199" s="18" t="str">
        <f t="shared" si="28"/>
        <v>GB</v>
      </c>
      <c r="L199" s="18" t="str">
        <f t="shared" si="29"/>
        <v>3304990000</v>
      </c>
    </row>
    <row r="200" spans="2:12">
      <c r="B200" s="20" t="s">
        <v>407</v>
      </c>
      <c r="C200" s="18" t="str">
        <f>"Orientalist Body Wash 200ml"</f>
        <v>Orientalist Body Wash 200ml</v>
      </c>
      <c r="D200" s="43">
        <f>30</f>
        <v>30</v>
      </c>
      <c r="E200" s="19">
        <f>4</f>
        <v>4</v>
      </c>
      <c r="F200" s="18" t="str">
        <f>"5056194200646"</f>
        <v>5056194200646</v>
      </c>
      <c r="G200" s="41">
        <f>0.14</f>
        <v>0.14000000000000001</v>
      </c>
      <c r="H200" s="41">
        <f t="shared" si="32"/>
        <v>0.06</v>
      </c>
      <c r="I200" s="41">
        <f t="shared" si="32"/>
        <v>0.06</v>
      </c>
      <c r="J200" s="41">
        <f>0.2</f>
        <v>0.2</v>
      </c>
      <c r="K200" s="18" t="str">
        <f t="shared" si="28"/>
        <v>GB</v>
      </c>
      <c r="L200" s="18" t="str">
        <f t="shared" si="29"/>
        <v>3304990000</v>
      </c>
    </row>
    <row r="201" spans="2:12">
      <c r="B201" s="20" t="s">
        <v>406</v>
      </c>
      <c r="C201" s="18" t="str">
        <f>"Royalty Body Wash 200ml"</f>
        <v>Royalty Body Wash 200ml</v>
      </c>
      <c r="D201" s="43">
        <f>30</f>
        <v>30</v>
      </c>
      <c r="E201" s="19">
        <f>4</f>
        <v>4</v>
      </c>
      <c r="F201" s="18" t="str">
        <f>"5056194200660"</f>
        <v>5056194200660</v>
      </c>
      <c r="G201" s="41">
        <f>0.14</f>
        <v>0.14000000000000001</v>
      </c>
      <c r="H201" s="41">
        <f t="shared" si="32"/>
        <v>0.06</v>
      </c>
      <c r="I201" s="41">
        <f t="shared" si="32"/>
        <v>0.06</v>
      </c>
      <c r="J201" s="41">
        <f>0.2</f>
        <v>0.2</v>
      </c>
      <c r="K201" s="18" t="str">
        <f t="shared" si="28"/>
        <v>GB</v>
      </c>
      <c r="L201" s="18" t="str">
        <f t="shared" si="29"/>
        <v>3304990000</v>
      </c>
    </row>
    <row r="202" spans="2:12">
      <c r="B202" s="20" t="s">
        <v>405</v>
      </c>
      <c r="C202" s="18" t="str">
        <f>"London Body Balm 500ml"</f>
        <v>London Body Balm 500ml</v>
      </c>
      <c r="D202" s="43">
        <f>60</f>
        <v>60</v>
      </c>
      <c r="E202" s="19">
        <f>4</f>
        <v>4</v>
      </c>
      <c r="F202" s="18" t="str">
        <f>"5056194200684"</f>
        <v>5056194200684</v>
      </c>
      <c r="G202" s="41">
        <f>0.17</f>
        <v>0.17</v>
      </c>
      <c r="H202" s="41">
        <f t="shared" ref="H202:I204" si="33">0.075</f>
        <v>7.4999999999999997E-2</v>
      </c>
      <c r="I202" s="41">
        <f t="shared" si="33"/>
        <v>7.4999999999999997E-2</v>
      </c>
      <c r="J202" s="41">
        <f>0.5</f>
        <v>0.5</v>
      </c>
      <c r="K202" s="18" t="str">
        <f t="shared" si="28"/>
        <v>GB</v>
      </c>
      <c r="L202" s="18" t="str">
        <f t="shared" si="29"/>
        <v>3304990000</v>
      </c>
    </row>
    <row r="203" spans="2:12">
      <c r="B203" s="20" t="s">
        <v>404</v>
      </c>
      <c r="C203" s="18" t="str">
        <f>"Orientalist Body Balm 500ml"</f>
        <v>Orientalist Body Balm 500ml</v>
      </c>
      <c r="D203" s="43">
        <f>60</f>
        <v>60</v>
      </c>
      <c r="E203" s="19">
        <f>4</f>
        <v>4</v>
      </c>
      <c r="F203" s="18" t="str">
        <f>"5056194200707"</f>
        <v>5056194200707</v>
      </c>
      <c r="G203" s="41">
        <f>0.17</f>
        <v>0.17</v>
      </c>
      <c r="H203" s="41">
        <f t="shared" si="33"/>
        <v>7.4999999999999997E-2</v>
      </c>
      <c r="I203" s="41">
        <f t="shared" si="33"/>
        <v>7.4999999999999997E-2</v>
      </c>
      <c r="J203" s="41">
        <f>0.5</f>
        <v>0.5</v>
      </c>
      <c r="K203" s="18" t="str">
        <f t="shared" si="28"/>
        <v>GB</v>
      </c>
      <c r="L203" s="18" t="str">
        <f t="shared" si="29"/>
        <v>3304990000</v>
      </c>
    </row>
    <row r="204" spans="2:12">
      <c r="B204" s="20" t="s">
        <v>403</v>
      </c>
      <c r="C204" s="18" t="str">
        <f>"Royalty Body Balm 500ml"</f>
        <v>Royalty Body Balm 500ml</v>
      </c>
      <c r="D204" s="43">
        <f>60</f>
        <v>60</v>
      </c>
      <c r="E204" s="19">
        <f>4</f>
        <v>4</v>
      </c>
      <c r="F204" s="18" t="str">
        <f>"5056194200721"</f>
        <v>5056194200721</v>
      </c>
      <c r="G204" s="41">
        <f>0.17</f>
        <v>0.17</v>
      </c>
      <c r="H204" s="41">
        <f t="shared" si="33"/>
        <v>7.4999999999999997E-2</v>
      </c>
      <c r="I204" s="41">
        <f t="shared" si="33"/>
        <v>7.4999999999999997E-2</v>
      </c>
      <c r="J204" s="41">
        <f>0.5</f>
        <v>0.5</v>
      </c>
      <c r="K204" s="18" t="str">
        <f t="shared" si="28"/>
        <v>GB</v>
      </c>
      <c r="L204" s="18" t="str">
        <f t="shared" si="29"/>
        <v>3304990000</v>
      </c>
    </row>
    <row r="205" spans="2:12">
      <c r="B205" s="20" t="s">
        <v>402</v>
      </c>
      <c r="C205" s="18" t="str">
        <f>"London Body Balm Tube 150ml"</f>
        <v>London Body Balm Tube 150ml</v>
      </c>
      <c r="D205" s="43">
        <f>30</f>
        <v>30</v>
      </c>
      <c r="E205" s="19">
        <f>6</f>
        <v>6</v>
      </c>
      <c r="F205" s="18" t="str">
        <f>"5056194200745"</f>
        <v>5056194200745</v>
      </c>
      <c r="G205" s="41">
        <f>0.2</f>
        <v>0.2</v>
      </c>
      <c r="H205" s="41">
        <f t="shared" ref="H205:I207" si="34">0.05</f>
        <v>0.05</v>
      </c>
      <c r="I205" s="41">
        <f t="shared" si="34"/>
        <v>0.05</v>
      </c>
      <c r="J205" s="41">
        <f>0.15</f>
        <v>0.15</v>
      </c>
      <c r="K205" s="18" t="str">
        <f t="shared" si="28"/>
        <v>GB</v>
      </c>
      <c r="L205" s="18" t="str">
        <f t="shared" si="29"/>
        <v>3304990000</v>
      </c>
    </row>
    <row r="206" spans="2:12">
      <c r="B206" s="20" t="s">
        <v>401</v>
      </c>
      <c r="C206" s="18" t="str">
        <f>"Orientalist Body Balm Tube 150ml"</f>
        <v>Orientalist Body Balm Tube 150ml</v>
      </c>
      <c r="D206" s="43">
        <f>30</f>
        <v>30</v>
      </c>
      <c r="E206" s="19">
        <f>6</f>
        <v>6</v>
      </c>
      <c r="F206" s="18" t="str">
        <f>"5056194200769"</f>
        <v>5056194200769</v>
      </c>
      <c r="G206" s="41">
        <f>0.2</f>
        <v>0.2</v>
      </c>
      <c r="H206" s="41">
        <f t="shared" si="34"/>
        <v>0.05</v>
      </c>
      <c r="I206" s="41">
        <f t="shared" si="34"/>
        <v>0.05</v>
      </c>
      <c r="J206" s="41">
        <f>0.15</f>
        <v>0.15</v>
      </c>
      <c r="K206" s="18" t="str">
        <f t="shared" si="28"/>
        <v>GB</v>
      </c>
      <c r="L206" s="18" t="str">
        <f t="shared" si="29"/>
        <v>3304990000</v>
      </c>
    </row>
    <row r="207" spans="2:12">
      <c r="B207" s="20" t="s">
        <v>400</v>
      </c>
      <c r="C207" s="18" t="str">
        <f>"Royalty Body Balm Tube 150ml"</f>
        <v>Royalty Body Balm Tube 150ml</v>
      </c>
      <c r="D207" s="43">
        <f>30</f>
        <v>30</v>
      </c>
      <c r="E207" s="19">
        <f>6</f>
        <v>6</v>
      </c>
      <c r="F207" s="18" t="str">
        <f>"5056194200783"</f>
        <v>5056194200783</v>
      </c>
      <c r="G207" s="41">
        <f>0.2</f>
        <v>0.2</v>
      </c>
      <c r="H207" s="41">
        <f t="shared" si="34"/>
        <v>0.05</v>
      </c>
      <c r="I207" s="41">
        <f t="shared" si="34"/>
        <v>0.05</v>
      </c>
      <c r="J207" s="41">
        <f>0.15</f>
        <v>0.15</v>
      </c>
      <c r="K207" s="18" t="str">
        <f t="shared" si="28"/>
        <v>GB</v>
      </c>
      <c r="L207" s="18" t="str">
        <f t="shared" si="29"/>
        <v>3304990000</v>
      </c>
    </row>
    <row r="208" spans="2:12">
      <c r="B208" s="20" t="s">
        <v>399</v>
      </c>
      <c r="C208" s="18" t="str">
        <f>"London Body Duo 2x 500ml"</f>
        <v>London Body Duo 2x 500ml</v>
      </c>
      <c r="D208" s="43">
        <f>90</f>
        <v>90</v>
      </c>
      <c r="E208" s="19">
        <f>4</f>
        <v>4</v>
      </c>
      <c r="F208" s="18" t="str">
        <f>"5056194200806"</f>
        <v>5056194200806</v>
      </c>
      <c r="G208" s="41">
        <f>0.18</f>
        <v>0.18</v>
      </c>
      <c r="H208" s="41">
        <f>0.16</f>
        <v>0.16</v>
      </c>
      <c r="I208" s="41">
        <f>0.08</f>
        <v>0.08</v>
      </c>
      <c r="J208" s="41">
        <f>1</f>
        <v>1</v>
      </c>
      <c r="K208" s="18" t="str">
        <f t="shared" si="28"/>
        <v>GB</v>
      </c>
      <c r="L208" s="18" t="str">
        <f t="shared" si="29"/>
        <v>3304990000</v>
      </c>
    </row>
    <row r="209" spans="2:12">
      <c r="B209" s="20" t="s">
        <v>398</v>
      </c>
      <c r="C209" s="18" t="str">
        <f>"Orientalist Hand Duo 2x 500ml"</f>
        <v>Orientalist Hand Duo 2x 500ml</v>
      </c>
      <c r="D209" s="43">
        <f>90</f>
        <v>90</v>
      </c>
      <c r="E209" s="19">
        <f>4</f>
        <v>4</v>
      </c>
      <c r="F209" s="18" t="str">
        <f>"5056194200820"</f>
        <v>5056194200820</v>
      </c>
      <c r="G209" s="41">
        <f>0.18</f>
        <v>0.18</v>
      </c>
      <c r="H209" s="41">
        <f>0.16</f>
        <v>0.16</v>
      </c>
      <c r="I209" s="41">
        <f>0.08</f>
        <v>0.08</v>
      </c>
      <c r="J209" s="41">
        <f>1</f>
        <v>1</v>
      </c>
      <c r="K209" s="18" t="str">
        <f t="shared" si="28"/>
        <v>GB</v>
      </c>
      <c r="L209" s="18" t="str">
        <f t="shared" si="29"/>
        <v>3304990000</v>
      </c>
    </row>
    <row r="210" spans="2:12">
      <c r="B210" s="20" t="s">
        <v>397</v>
      </c>
      <c r="C210" s="18" t="str">
        <f>"Royalty Hand Duo 2x 500ml"</f>
        <v>Royalty Hand Duo 2x 500ml</v>
      </c>
      <c r="D210" s="43">
        <f>90</f>
        <v>90</v>
      </c>
      <c r="E210" s="19">
        <f>4</f>
        <v>4</v>
      </c>
      <c r="F210" s="18" t="str">
        <f>"5056194200844"</f>
        <v>5056194200844</v>
      </c>
      <c r="G210" s="41">
        <f>0.18</f>
        <v>0.18</v>
      </c>
      <c r="H210" s="41">
        <f>0.16</f>
        <v>0.16</v>
      </c>
      <c r="I210" s="41">
        <f>0.08</f>
        <v>0.08</v>
      </c>
      <c r="J210" s="41">
        <f>1</f>
        <v>1</v>
      </c>
      <c r="K210" s="18" t="str">
        <f t="shared" si="28"/>
        <v>GB</v>
      </c>
      <c r="L210" s="18" t="str">
        <f t="shared" si="29"/>
        <v>3304990000</v>
      </c>
    </row>
    <row r="211" spans="2:12">
      <c r="B211" s="20" t="s">
        <v>396</v>
      </c>
      <c r="C211" s="18" t="str">
        <f>"London Hand Wash 500ml"</f>
        <v>London Hand Wash 500ml</v>
      </c>
      <c r="D211" s="43">
        <f>27</f>
        <v>27</v>
      </c>
      <c r="E211" s="19">
        <f>4</f>
        <v>4</v>
      </c>
      <c r="F211" s="18" t="str">
        <f>"5056194200868"</f>
        <v>5056194200868</v>
      </c>
      <c r="G211" s="41">
        <f t="shared" ref="G211:G216" si="35">0.17</f>
        <v>0.17</v>
      </c>
      <c r="H211" s="41">
        <f t="shared" ref="H211:I216" si="36">0.075</f>
        <v>7.4999999999999997E-2</v>
      </c>
      <c r="I211" s="41">
        <f t="shared" si="36"/>
        <v>7.4999999999999997E-2</v>
      </c>
      <c r="J211" s="41">
        <f t="shared" ref="J211:J216" si="37">0.5</f>
        <v>0.5</v>
      </c>
      <c r="K211" s="18" t="str">
        <f t="shared" si="28"/>
        <v>GB</v>
      </c>
      <c r="L211" s="18" t="str">
        <f t="shared" ref="L211:L216" si="38">"3401300000"</f>
        <v>3401300000</v>
      </c>
    </row>
    <row r="212" spans="2:12">
      <c r="B212" s="20" t="s">
        <v>395</v>
      </c>
      <c r="C212" s="18" t="str">
        <f>"Orientalist Hand Wash 500ml"</f>
        <v>Orientalist Hand Wash 500ml</v>
      </c>
      <c r="D212" s="43">
        <f>27</f>
        <v>27</v>
      </c>
      <c r="E212" s="19">
        <f>4</f>
        <v>4</v>
      </c>
      <c r="F212" s="18" t="str">
        <f>"5056194200882"</f>
        <v>5056194200882</v>
      </c>
      <c r="G212" s="41">
        <f t="shared" si="35"/>
        <v>0.17</v>
      </c>
      <c r="H212" s="41">
        <f t="shared" si="36"/>
        <v>7.4999999999999997E-2</v>
      </c>
      <c r="I212" s="41">
        <f t="shared" si="36"/>
        <v>7.4999999999999997E-2</v>
      </c>
      <c r="J212" s="41">
        <f t="shared" si="37"/>
        <v>0.5</v>
      </c>
      <c r="K212" s="18" t="str">
        <f t="shared" si="28"/>
        <v>GB</v>
      </c>
      <c r="L212" s="18" t="str">
        <f t="shared" si="38"/>
        <v>3401300000</v>
      </c>
    </row>
    <row r="213" spans="2:12">
      <c r="B213" s="20" t="s">
        <v>394</v>
      </c>
      <c r="C213" s="18" t="str">
        <f>"Royalty Hand Wash 500ml"</f>
        <v>Royalty Hand Wash 500ml</v>
      </c>
      <c r="D213" s="43">
        <f>27</f>
        <v>27</v>
      </c>
      <c r="E213" s="19">
        <f>4</f>
        <v>4</v>
      </c>
      <c r="F213" s="18" t="str">
        <f>"5056194200905"</f>
        <v>5056194200905</v>
      </c>
      <c r="G213" s="41">
        <f t="shared" si="35"/>
        <v>0.17</v>
      </c>
      <c r="H213" s="41">
        <f t="shared" si="36"/>
        <v>7.4999999999999997E-2</v>
      </c>
      <c r="I213" s="41">
        <f t="shared" si="36"/>
        <v>7.4999999999999997E-2</v>
      </c>
      <c r="J213" s="41">
        <f t="shared" si="37"/>
        <v>0.5</v>
      </c>
      <c r="K213" s="18" t="str">
        <f t="shared" si="28"/>
        <v>GB</v>
      </c>
      <c r="L213" s="18" t="str">
        <f t="shared" si="38"/>
        <v>3401300000</v>
      </c>
    </row>
    <row r="214" spans="2:12">
      <c r="B214" s="20" t="s">
        <v>393</v>
      </c>
      <c r="C214" s="18" t="str">
        <f>"London Hand Balm 500ml"</f>
        <v>London Hand Balm 500ml</v>
      </c>
      <c r="D214" s="43">
        <f>48</f>
        <v>48</v>
      </c>
      <c r="E214" s="19">
        <f>4</f>
        <v>4</v>
      </c>
      <c r="F214" s="18" t="str">
        <f>"5056194200929"</f>
        <v>5056194200929</v>
      </c>
      <c r="G214" s="41">
        <f t="shared" si="35"/>
        <v>0.17</v>
      </c>
      <c r="H214" s="41">
        <f t="shared" si="36"/>
        <v>7.4999999999999997E-2</v>
      </c>
      <c r="I214" s="41">
        <f t="shared" si="36"/>
        <v>7.4999999999999997E-2</v>
      </c>
      <c r="J214" s="41">
        <f t="shared" si="37"/>
        <v>0.5</v>
      </c>
      <c r="K214" s="18" t="str">
        <f t="shared" si="28"/>
        <v>GB</v>
      </c>
      <c r="L214" s="18" t="str">
        <f t="shared" si="38"/>
        <v>3401300000</v>
      </c>
    </row>
    <row r="215" spans="2:12">
      <c r="B215" s="20" t="s">
        <v>392</v>
      </c>
      <c r="C215" s="18" t="str">
        <f>"Orientalist Hand Balm 500ml"</f>
        <v>Orientalist Hand Balm 500ml</v>
      </c>
      <c r="D215" s="43">
        <f>48</f>
        <v>48</v>
      </c>
      <c r="E215" s="19">
        <f>4</f>
        <v>4</v>
      </c>
      <c r="F215" s="18" t="str">
        <f>"5056194200943"</f>
        <v>5056194200943</v>
      </c>
      <c r="G215" s="41">
        <f t="shared" si="35"/>
        <v>0.17</v>
      </c>
      <c r="H215" s="41">
        <f t="shared" si="36"/>
        <v>7.4999999999999997E-2</v>
      </c>
      <c r="I215" s="41">
        <f t="shared" si="36"/>
        <v>7.4999999999999997E-2</v>
      </c>
      <c r="J215" s="41">
        <f t="shared" si="37"/>
        <v>0.5</v>
      </c>
      <c r="K215" s="18" t="str">
        <f t="shared" si="28"/>
        <v>GB</v>
      </c>
      <c r="L215" s="18" t="str">
        <f t="shared" si="38"/>
        <v>3401300000</v>
      </c>
    </row>
    <row r="216" spans="2:12">
      <c r="B216" s="20" t="s">
        <v>391</v>
      </c>
      <c r="C216" s="18" t="str">
        <f>"Royalty Hand Balm 500ml"</f>
        <v>Royalty Hand Balm 500ml</v>
      </c>
      <c r="D216" s="43">
        <f>48</f>
        <v>48</v>
      </c>
      <c r="E216" s="19">
        <f>4</f>
        <v>4</v>
      </c>
      <c r="F216" s="18" t="str">
        <f>"5056194200967"</f>
        <v>5056194200967</v>
      </c>
      <c r="G216" s="41">
        <f t="shared" si="35"/>
        <v>0.17</v>
      </c>
      <c r="H216" s="41">
        <f t="shared" si="36"/>
        <v>7.4999999999999997E-2</v>
      </c>
      <c r="I216" s="41">
        <f t="shared" si="36"/>
        <v>7.4999999999999997E-2</v>
      </c>
      <c r="J216" s="41">
        <f t="shared" si="37"/>
        <v>0.5</v>
      </c>
      <c r="K216" s="18" t="str">
        <f t="shared" si="28"/>
        <v>GB</v>
      </c>
      <c r="L216" s="18" t="str">
        <f t="shared" si="38"/>
        <v>3401300000</v>
      </c>
    </row>
    <row r="217" spans="2:12">
      <c r="B217" s="20" t="s">
        <v>390</v>
      </c>
      <c r="C217" s="18" t="str">
        <f>"London Washing up Liquid 1L"</f>
        <v>London Washing up Liquid 1L</v>
      </c>
      <c r="D217" s="43">
        <f>30</f>
        <v>30</v>
      </c>
      <c r="E217" s="19">
        <f>6</f>
        <v>6</v>
      </c>
      <c r="F217" s="18" t="str">
        <f>"5056194201100"</f>
        <v>5056194201100</v>
      </c>
      <c r="G217" s="41">
        <f>0.24</f>
        <v>0.24</v>
      </c>
      <c r="H217" s="41">
        <f>0.085</f>
        <v>8.5000000000000006E-2</v>
      </c>
      <c r="I217" s="41">
        <f>0.085</f>
        <v>8.5000000000000006E-2</v>
      </c>
      <c r="J217" s="41">
        <f>1</f>
        <v>1</v>
      </c>
      <c r="K217" s="18" t="str">
        <f t="shared" si="28"/>
        <v>GB</v>
      </c>
      <c r="L217" s="18" t="str">
        <f>"3304990000"</f>
        <v>3304990000</v>
      </c>
    </row>
    <row r="218" spans="2:12">
      <c r="B218" s="20" t="s">
        <v>389</v>
      </c>
      <c r="C218" s="18" t="str">
        <f>"London Hand Duo 2x 500ml"</f>
        <v>London Hand Duo 2x 500ml</v>
      </c>
      <c r="D218" s="43">
        <f>90</f>
        <v>90</v>
      </c>
      <c r="E218" s="19">
        <f>6</f>
        <v>6</v>
      </c>
      <c r="F218" s="18" t="str">
        <f>"5056194201049"</f>
        <v>5056194201049</v>
      </c>
      <c r="G218" s="41">
        <f>0.182</f>
        <v>0.182</v>
      </c>
      <c r="H218" s="41">
        <f>0.09</f>
        <v>0.09</v>
      </c>
      <c r="I218" s="41">
        <f>0.171</f>
        <v>0.17100000000000001</v>
      </c>
      <c r="J218" s="41">
        <f>1.2</f>
        <v>1.2</v>
      </c>
      <c r="K218" s="18" t="str">
        <f t="shared" si="28"/>
        <v>GB</v>
      </c>
      <c r="L218" s="18" t="str">
        <f>"7508900000"</f>
        <v>7508900000</v>
      </c>
    </row>
    <row r="219" spans="2:12">
      <c r="B219" s="20" t="s">
        <v>388</v>
      </c>
      <c r="C219" s="18" t="str">
        <f>"Orientalist Hand Duo 2x 500ml"</f>
        <v>Orientalist Hand Duo 2x 500ml</v>
      </c>
      <c r="D219" s="43">
        <f>90</f>
        <v>90</v>
      </c>
      <c r="E219" s="19">
        <f>6</f>
        <v>6</v>
      </c>
      <c r="F219" s="18" t="str">
        <f>"5056194201063"</f>
        <v>5056194201063</v>
      </c>
      <c r="G219" s="41">
        <f>0.182</f>
        <v>0.182</v>
      </c>
      <c r="H219" s="41">
        <f>0.09</f>
        <v>0.09</v>
      </c>
      <c r="I219" s="41">
        <f>0.171</f>
        <v>0.17100000000000001</v>
      </c>
      <c r="J219" s="41">
        <f>1.2</f>
        <v>1.2</v>
      </c>
      <c r="K219" s="18" t="str">
        <f t="shared" si="28"/>
        <v>GB</v>
      </c>
      <c r="L219" s="18" t="str">
        <f>"7508900000"</f>
        <v>7508900000</v>
      </c>
    </row>
    <row r="220" spans="2:12">
      <c r="B220" s="20" t="s">
        <v>387</v>
      </c>
      <c r="C220" s="18" t="str">
        <f>"Royalty Hand Duo 2x 500ml"</f>
        <v>Royalty Hand Duo 2x 500ml</v>
      </c>
      <c r="D220" s="43">
        <f>90</f>
        <v>90</v>
      </c>
      <c r="E220" s="19">
        <f>6</f>
        <v>6</v>
      </c>
      <c r="F220" s="18" t="str">
        <f>"5056194201087"</f>
        <v>5056194201087</v>
      </c>
      <c r="G220" s="41">
        <f>0.182</f>
        <v>0.182</v>
      </c>
      <c r="H220" s="41">
        <f>0.09</f>
        <v>0.09</v>
      </c>
      <c r="I220" s="41">
        <f>0.171</f>
        <v>0.17100000000000001</v>
      </c>
      <c r="J220" s="41">
        <f>1.2</f>
        <v>1.2</v>
      </c>
      <c r="K220" s="18" t="str">
        <f t="shared" si="28"/>
        <v>GB</v>
      </c>
      <c r="L220" s="18" t="str">
        <f>"7508900000"</f>
        <v>7508900000</v>
      </c>
    </row>
    <row r="221" spans="2:12">
      <c r="B221" s="20" t="s">
        <v>386</v>
      </c>
      <c r="C221" s="18" t="str">
        <f>"Bash Vessel Large"</f>
        <v>Bash Vessel Large</v>
      </c>
      <c r="D221" s="43">
        <f>400</f>
        <v>400</v>
      </c>
      <c r="E221" s="19">
        <f>4</f>
        <v>4</v>
      </c>
      <c r="F221" s="18" t="str">
        <f>"5056194500746"</f>
        <v>5056194500746</v>
      </c>
      <c r="G221" s="41">
        <f>0.365</f>
        <v>0.36499999999999999</v>
      </c>
      <c r="H221" s="41">
        <f>0.365</f>
        <v>0.36499999999999999</v>
      </c>
      <c r="I221" s="41">
        <f>0.24</f>
        <v>0.24</v>
      </c>
      <c r="J221" s="41">
        <f>2</f>
        <v>2</v>
      </c>
      <c r="K221" s="18" t="str">
        <f t="shared" ref="K221:K232" si="39">"IN"</f>
        <v>IN</v>
      </c>
      <c r="L221" s="18" t="str">
        <f>"8306290000"</f>
        <v>8306290000</v>
      </c>
    </row>
    <row r="222" spans="2:12">
      <c r="B222" s="20" t="s">
        <v>385</v>
      </c>
      <c r="C222" s="18" t="str">
        <f>"Bash Vessel Small"</f>
        <v>Bash Vessel Small</v>
      </c>
      <c r="D222" s="43">
        <f>220</f>
        <v>220</v>
      </c>
      <c r="E222" s="19">
        <f>4</f>
        <v>4</v>
      </c>
      <c r="F222" s="18" t="str">
        <f>"5056194500760"</f>
        <v>5056194500760</v>
      </c>
      <c r="G222" s="41">
        <f>0.18</f>
        <v>0.18</v>
      </c>
      <c r="H222" s="41">
        <f>0.24</f>
        <v>0.24</v>
      </c>
      <c r="I222" s="41">
        <f>0.355</f>
        <v>0.35499999999999998</v>
      </c>
      <c r="J222" s="41">
        <f>1</f>
        <v>1</v>
      </c>
      <c r="K222" s="18" t="str">
        <f t="shared" si="39"/>
        <v>IN</v>
      </c>
      <c r="L222" s="18" t="str">
        <f>"8306290000"</f>
        <v>8306290000</v>
      </c>
    </row>
    <row r="223" spans="2:12">
      <c r="B223" s="20" t="s">
        <v>384</v>
      </c>
      <c r="C223" s="18" t="str">
        <f>"Bash Vessel Mini Brass"</f>
        <v>Bash Vessel Mini Brass</v>
      </c>
      <c r="D223" s="43">
        <f>70</f>
        <v>70</v>
      </c>
      <c r="E223" s="19">
        <f>16</f>
        <v>16</v>
      </c>
      <c r="F223" s="18" t="str">
        <f>"5056194500784"</f>
        <v>5056194500784</v>
      </c>
      <c r="G223" s="41">
        <f>0.12</f>
        <v>0.12</v>
      </c>
      <c r="H223" s="41">
        <f>0.125</f>
        <v>0.125</v>
      </c>
      <c r="I223" s="41">
        <f>0.73</f>
        <v>0.73</v>
      </c>
      <c r="J223" s="41">
        <f>0.217</f>
        <v>0.217</v>
      </c>
      <c r="K223" s="18" t="str">
        <f t="shared" si="39"/>
        <v>IN</v>
      </c>
      <c r="L223" s="18" t="str">
        <f>"8306290000"</f>
        <v>8306290000</v>
      </c>
    </row>
    <row r="224" spans="2:12">
      <c r="B224" s="20" t="s">
        <v>383</v>
      </c>
      <c r="C224" s="18" t="str">
        <f>"Form Bowl Set Large"</f>
        <v>Form Bowl Set Large</v>
      </c>
      <c r="D224" s="43">
        <f>180</f>
        <v>180</v>
      </c>
      <c r="E224" s="19">
        <f>6</f>
        <v>6</v>
      </c>
      <c r="F224" s="18" t="str">
        <f>"5056194501101"</f>
        <v>5056194501101</v>
      </c>
      <c r="G224" s="41">
        <f>0.05</f>
        <v>0.05</v>
      </c>
      <c r="H224" s="41">
        <f>0.27</f>
        <v>0.27</v>
      </c>
      <c r="I224" s="41">
        <f>0.27</f>
        <v>0.27</v>
      </c>
      <c r="J224" s="41">
        <f>0.8</f>
        <v>0.8</v>
      </c>
      <c r="K224" s="18" t="str">
        <f t="shared" si="39"/>
        <v>IN</v>
      </c>
      <c r="L224" s="18" t="str">
        <f>"7418109090"</f>
        <v>7418109090</v>
      </c>
    </row>
    <row r="225" spans="2:12">
      <c r="B225" s="20" t="s">
        <v>382</v>
      </c>
      <c r="C225" s="18" t="str">
        <f>"Form Bowl Set Small"</f>
        <v>Form Bowl Set Small</v>
      </c>
      <c r="D225" s="43">
        <f>95</f>
        <v>95</v>
      </c>
      <c r="E225" s="19">
        <f>6</f>
        <v>6</v>
      </c>
      <c r="F225" s="18" t="str">
        <f>"5056194501125"</f>
        <v>5056194501125</v>
      </c>
      <c r="G225" s="41">
        <f>0.04</f>
        <v>0.04</v>
      </c>
      <c r="H225" s="41">
        <f>0.17</f>
        <v>0.17</v>
      </c>
      <c r="I225" s="41">
        <f>0.17</f>
        <v>0.17</v>
      </c>
      <c r="J225" s="41">
        <f>0.3</f>
        <v>0.3</v>
      </c>
      <c r="K225" s="18" t="str">
        <f t="shared" si="39"/>
        <v>IN</v>
      </c>
      <c r="L225" s="18" t="str">
        <f>"7418109090"</f>
        <v>7418109090</v>
      </c>
    </row>
    <row r="226" spans="2:12">
      <c r="B226" s="20" t="s">
        <v>381</v>
      </c>
      <c r="C226" s="18" t="str">
        <f>"Bash Vessel Tall"</f>
        <v>Bash Vessel Tall</v>
      </c>
      <c r="D226" s="43">
        <f>710</f>
        <v>710</v>
      </c>
      <c r="E226" s="19">
        <f>2</f>
        <v>2</v>
      </c>
      <c r="F226" s="18" t="str">
        <f>"5056194500807"</f>
        <v>5056194500807</v>
      </c>
      <c r="G226" s="41">
        <f>0.53</f>
        <v>0.53</v>
      </c>
      <c r="H226" s="41">
        <f>0.26</f>
        <v>0.26</v>
      </c>
      <c r="I226" s="41">
        <f>0.4</f>
        <v>0.4</v>
      </c>
      <c r="J226" s="41">
        <f>3</f>
        <v>3</v>
      </c>
      <c r="K226" s="18" t="str">
        <f t="shared" si="39"/>
        <v>IN</v>
      </c>
      <c r="L226" s="18" t="str">
        <f>"8306290000"</f>
        <v>8306290000</v>
      </c>
    </row>
    <row r="227" spans="2:12">
      <c r="B227" s="20" t="s">
        <v>380</v>
      </c>
      <c r="C227" s="18" t="str">
        <f>"Bash Vessel Wide"</f>
        <v>Bash Vessel Wide</v>
      </c>
      <c r="D227" s="43">
        <f>490</f>
        <v>490</v>
      </c>
      <c r="E227" s="19">
        <f>2</f>
        <v>2</v>
      </c>
      <c r="F227" s="18" t="str">
        <f>"5056194500821"</f>
        <v>5056194500821</v>
      </c>
      <c r="G227" s="41">
        <f>0.385</f>
        <v>0.38500000000000001</v>
      </c>
      <c r="H227" s="41">
        <f>0.24</f>
        <v>0.24</v>
      </c>
      <c r="I227" s="41">
        <f>0.475</f>
        <v>0.47499999999999998</v>
      </c>
      <c r="J227" s="41">
        <f>3</f>
        <v>3</v>
      </c>
      <c r="K227" s="18" t="str">
        <f t="shared" si="39"/>
        <v>IN</v>
      </c>
      <c r="L227" s="18" t="str">
        <f>"8306290000"</f>
        <v>8306290000</v>
      </c>
    </row>
    <row r="228" spans="2:12">
      <c r="B228" s="20" t="s">
        <v>379</v>
      </c>
      <c r="C228" s="18" t="str">
        <f>"Bash Tray"</f>
        <v>Bash Tray</v>
      </c>
      <c r="D228" s="43">
        <f>250</f>
        <v>250</v>
      </c>
      <c r="E228" s="19">
        <f>4</f>
        <v>4</v>
      </c>
      <c r="F228" s="18" t="str">
        <f>"5056194500845"</f>
        <v>5056194500845</v>
      </c>
      <c r="G228" s="41">
        <f>0.08</f>
        <v>0.08</v>
      </c>
      <c r="H228" s="41">
        <f>0.38</f>
        <v>0.38</v>
      </c>
      <c r="I228" s="41">
        <f>0.49</f>
        <v>0.49</v>
      </c>
      <c r="J228" s="41">
        <f>2</f>
        <v>2</v>
      </c>
      <c r="K228" s="18" t="str">
        <f t="shared" si="39"/>
        <v>IN</v>
      </c>
      <c r="L228" s="18" t="str">
        <f>"8306290000"</f>
        <v>8306290000</v>
      </c>
    </row>
    <row r="229" spans="2:12">
      <c r="B229" s="20" t="s">
        <v>378</v>
      </c>
      <c r="C229" s="18" t="str">
        <f>"Bash Platter"</f>
        <v>Bash Platter</v>
      </c>
      <c r="D229" s="43">
        <f>390</f>
        <v>390</v>
      </c>
      <c r="E229" s="19">
        <f>4</f>
        <v>4</v>
      </c>
      <c r="F229" s="18" t="str">
        <f>"5056194500869"</f>
        <v>5056194500869</v>
      </c>
      <c r="G229" s="41">
        <f>0.08</f>
        <v>0.08</v>
      </c>
      <c r="H229" s="41">
        <f>0.55</f>
        <v>0.55000000000000004</v>
      </c>
      <c r="I229" s="41">
        <f>0.77</f>
        <v>0.77</v>
      </c>
      <c r="J229" s="41">
        <f>1.5</f>
        <v>1.5</v>
      </c>
      <c r="K229" s="18" t="str">
        <f t="shared" si="39"/>
        <v>IN</v>
      </c>
      <c r="L229" s="18" t="str">
        <f>"8306290000"</f>
        <v>8306290000</v>
      </c>
    </row>
    <row r="230" spans="2:12">
      <c r="B230" s="20" t="s">
        <v>377</v>
      </c>
      <c r="C230" s="18" t="str">
        <f>"Stone Cndl HolderTall  Brass"</f>
        <v>Stone Cndl HolderTall  Brass</v>
      </c>
      <c r="D230" s="43">
        <f>140</f>
        <v>140</v>
      </c>
      <c r="E230" s="19">
        <f>2</f>
        <v>2</v>
      </c>
      <c r="F230" s="18" t="str">
        <f>"5055998500648"</f>
        <v>5055998500648</v>
      </c>
      <c r="G230" s="41">
        <f>0.15</f>
        <v>0.15</v>
      </c>
      <c r="H230" s="41">
        <f>0.18</f>
        <v>0.18</v>
      </c>
      <c r="I230" s="41">
        <f>0.54</f>
        <v>0.54</v>
      </c>
      <c r="J230" s="41">
        <f>1.5</f>
        <v>1.5</v>
      </c>
      <c r="K230" s="18" t="str">
        <f t="shared" si="39"/>
        <v>IN</v>
      </c>
      <c r="L230" s="18" t="str">
        <f>"8306290000"</f>
        <v>8306290000</v>
      </c>
    </row>
    <row r="231" spans="2:12">
      <c r="B231" s="20" t="s">
        <v>376</v>
      </c>
      <c r="C231" s="18" t="str">
        <f>"Stone Cake Stand"</f>
        <v>Stone Cake Stand</v>
      </c>
      <c r="D231" s="43">
        <f>150</f>
        <v>150</v>
      </c>
      <c r="E231" s="19">
        <f>2</f>
        <v>2</v>
      </c>
      <c r="F231" s="18" t="str">
        <f>"5060278450384"</f>
        <v>5060278450384</v>
      </c>
      <c r="G231" s="41">
        <f>0.15</f>
        <v>0.15</v>
      </c>
      <c r="H231" s="41">
        <f>0.3</f>
        <v>0.3</v>
      </c>
      <c r="I231" s="41">
        <f>0.3</f>
        <v>0.3</v>
      </c>
      <c r="J231" s="41">
        <f>1.5</f>
        <v>1.5</v>
      </c>
      <c r="K231" s="18" t="str">
        <f t="shared" si="39"/>
        <v>IN</v>
      </c>
      <c r="L231" s="18" t="str">
        <f>"6912002390"</f>
        <v>6912002390</v>
      </c>
    </row>
    <row r="232" spans="2:12">
      <c r="B232" s="20" t="s">
        <v>375</v>
      </c>
      <c r="C232" s="18" t="str">
        <f>"Form Caddy"</f>
        <v>Form Caddy</v>
      </c>
      <c r="D232" s="43">
        <f>60</f>
        <v>60</v>
      </c>
      <c r="E232" s="19">
        <f>4</f>
        <v>4</v>
      </c>
      <c r="F232" s="18" t="str">
        <f>"5060278450445"</f>
        <v>5060278450445</v>
      </c>
      <c r="G232" s="41">
        <f>0.125</f>
        <v>0.125</v>
      </c>
      <c r="H232" s="41">
        <f>0.085</f>
        <v>8.5000000000000006E-2</v>
      </c>
      <c r="I232" s="41">
        <f>0.1</f>
        <v>0.1</v>
      </c>
      <c r="J232" s="41">
        <f>0.24</f>
        <v>0.24</v>
      </c>
      <c r="K232" s="18" t="str">
        <f t="shared" si="39"/>
        <v>IN</v>
      </c>
      <c r="L232" s="18" t="str">
        <f>"7418109090"</f>
        <v>7418109090</v>
      </c>
    </row>
  </sheetData>
  <mergeCells count="1">
    <mergeCell ref="G4:J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87C911-0DFE-4FB4-B664-4A83AB159BC5}">
  <dimension ref="A1:D241"/>
  <sheetViews>
    <sheetView showGridLines="0" topLeftCell="B2" workbookViewId="0">
      <pane ySplit="3" topLeftCell="A5" activePane="bottomLeft" state="frozen"/>
      <selection activeCell="B2" sqref="B2"/>
      <selection pane="bottomLeft" activeCell="F13" sqref="F13"/>
    </sheetView>
  </sheetViews>
  <sheetFormatPr baseColWidth="10" defaultColWidth="9.140625" defaultRowHeight="15"/>
  <cols>
    <col min="1" max="1" width="8.7109375" hidden="1" customWidth="1"/>
    <col min="2" max="2" width="18.85546875" bestFit="1" customWidth="1"/>
    <col min="3" max="3" width="54.42578125" bestFit="1" customWidth="1"/>
    <col min="4" max="4" width="17.28515625" customWidth="1"/>
  </cols>
  <sheetData>
    <row r="1" spans="1:4" hidden="1">
      <c r="A1" t="s">
        <v>374</v>
      </c>
    </row>
    <row r="3" spans="1:4" ht="15.75">
      <c r="B3" s="50" t="s">
        <v>604</v>
      </c>
      <c r="C3" s="31"/>
      <c r="D3" s="32"/>
    </row>
    <row r="4" spans="1:4" ht="31.5">
      <c r="B4" s="33" t="s">
        <v>3</v>
      </c>
      <c r="C4" s="33" t="s">
        <v>4</v>
      </c>
      <c r="D4" s="44" t="s">
        <v>1042</v>
      </c>
    </row>
    <row r="5" spans="1:4" ht="15.75">
      <c r="B5" s="35" t="s">
        <v>605</v>
      </c>
      <c r="C5" s="34" t="s">
        <v>606</v>
      </c>
      <c r="D5" s="45">
        <v>2800</v>
      </c>
    </row>
    <row r="6" spans="1:4" ht="15.75">
      <c r="B6" s="35" t="s">
        <v>607</v>
      </c>
      <c r="C6" s="34" t="s">
        <v>608</v>
      </c>
      <c r="D6" s="45">
        <v>3800</v>
      </c>
    </row>
    <row r="7" spans="1:4" ht="15.75">
      <c r="B7" s="35" t="s">
        <v>609</v>
      </c>
      <c r="C7" s="34" t="s">
        <v>610</v>
      </c>
      <c r="D7" s="45">
        <v>4400</v>
      </c>
    </row>
    <row r="8" spans="1:4" ht="15.75">
      <c r="B8" s="35" t="s">
        <v>611</v>
      </c>
      <c r="C8" s="34" t="s">
        <v>612</v>
      </c>
      <c r="D8" s="45">
        <v>4900</v>
      </c>
    </row>
    <row r="9" spans="1:4">
      <c r="B9" s="34" t="s">
        <v>613</v>
      </c>
      <c r="C9" s="34" t="s">
        <v>614</v>
      </c>
      <c r="D9" s="45">
        <v>4400</v>
      </c>
    </row>
    <row r="10" spans="1:4">
      <c r="B10" s="34" t="s">
        <v>615</v>
      </c>
      <c r="C10" s="34" t="s">
        <v>616</v>
      </c>
      <c r="D10" s="45">
        <v>2800</v>
      </c>
    </row>
    <row r="11" spans="1:4">
      <c r="B11" s="34" t="s">
        <v>617</v>
      </c>
      <c r="C11" s="34" t="s">
        <v>618</v>
      </c>
      <c r="D11" s="45">
        <v>1150</v>
      </c>
    </row>
    <row r="12" spans="1:4">
      <c r="B12" s="34" t="s">
        <v>619</v>
      </c>
      <c r="C12" s="34" t="s">
        <v>620</v>
      </c>
      <c r="D12" s="45">
        <v>1410</v>
      </c>
    </row>
    <row r="13" spans="1:4">
      <c r="B13" s="34" t="s">
        <v>621</v>
      </c>
      <c r="C13" s="34" t="s">
        <v>622</v>
      </c>
      <c r="D13" s="45">
        <v>2000</v>
      </c>
    </row>
    <row r="14" spans="1:4">
      <c r="B14" s="34" t="s">
        <v>623</v>
      </c>
      <c r="C14" s="34" t="s">
        <v>624</v>
      </c>
      <c r="D14" s="45">
        <v>2450</v>
      </c>
    </row>
    <row r="15" spans="1:4">
      <c r="B15" s="34" t="s">
        <v>625</v>
      </c>
      <c r="C15" s="34" t="s">
        <v>626</v>
      </c>
      <c r="D15" s="45">
        <v>2000</v>
      </c>
    </row>
    <row r="16" spans="1:4">
      <c r="B16" s="34" t="s">
        <v>627</v>
      </c>
      <c r="C16" s="34" t="s">
        <v>628</v>
      </c>
      <c r="D16" s="45">
        <v>1150</v>
      </c>
    </row>
    <row r="17" spans="2:4" ht="15.75">
      <c r="B17" s="35" t="s">
        <v>629</v>
      </c>
      <c r="C17" s="34" t="s">
        <v>630</v>
      </c>
      <c r="D17" s="45">
        <v>930</v>
      </c>
    </row>
    <row r="18" spans="2:4" ht="15.75">
      <c r="B18" s="35" t="s">
        <v>631</v>
      </c>
      <c r="C18" s="34" t="s">
        <v>632</v>
      </c>
      <c r="D18" s="45">
        <v>980</v>
      </c>
    </row>
    <row r="19" spans="2:4" ht="15.75">
      <c r="B19" s="35" t="s">
        <v>633</v>
      </c>
      <c r="C19" s="34" t="s">
        <v>634</v>
      </c>
      <c r="D19" s="45">
        <v>1040</v>
      </c>
    </row>
    <row r="20" spans="2:4" ht="15.75">
      <c r="B20" s="35" t="s">
        <v>635</v>
      </c>
      <c r="C20" s="34" t="s">
        <v>636</v>
      </c>
      <c r="D20" s="45">
        <v>1670</v>
      </c>
    </row>
    <row r="21" spans="2:4" ht="15.75">
      <c r="B21" s="35" t="s">
        <v>637</v>
      </c>
      <c r="C21" s="34" t="s">
        <v>638</v>
      </c>
      <c r="D21" s="45">
        <v>930</v>
      </c>
    </row>
    <row r="22" spans="2:4" ht="15.75">
      <c r="B22" s="35" t="s">
        <v>639</v>
      </c>
      <c r="C22" s="34" t="s">
        <v>640</v>
      </c>
      <c r="D22" s="45">
        <v>1040</v>
      </c>
    </row>
    <row r="23" spans="2:4" ht="15.75">
      <c r="B23" s="35" t="s">
        <v>641</v>
      </c>
      <c r="C23" s="34" t="s">
        <v>642</v>
      </c>
      <c r="D23" s="45">
        <v>1150</v>
      </c>
    </row>
    <row r="24" spans="2:4" ht="15.75">
      <c r="B24" s="35" t="s">
        <v>643</v>
      </c>
      <c r="C24" s="34" t="s">
        <v>644</v>
      </c>
      <c r="D24" s="45">
        <v>1200</v>
      </c>
    </row>
    <row r="25" spans="2:4" ht="15.75">
      <c r="B25" s="35" t="s">
        <v>645</v>
      </c>
      <c r="C25" s="34" t="s">
        <v>646</v>
      </c>
      <c r="D25" s="45">
        <v>1250</v>
      </c>
    </row>
    <row r="26" spans="2:4" ht="15.75">
      <c r="B26" s="35" t="s">
        <v>647</v>
      </c>
      <c r="C26" s="34" t="s">
        <v>648</v>
      </c>
      <c r="D26" s="45">
        <v>1800</v>
      </c>
    </row>
    <row r="27" spans="2:4" ht="15.75">
      <c r="B27" s="35" t="s">
        <v>649</v>
      </c>
      <c r="C27" s="34" t="s">
        <v>650</v>
      </c>
      <c r="D27" s="45">
        <v>1250</v>
      </c>
    </row>
    <row r="28" spans="2:4" ht="15.75">
      <c r="B28" s="35" t="s">
        <v>651</v>
      </c>
      <c r="C28" s="34" t="s">
        <v>652</v>
      </c>
      <c r="D28" s="45">
        <v>1150</v>
      </c>
    </row>
    <row r="29" spans="2:4" ht="15.75">
      <c r="B29" s="35" t="s">
        <v>653</v>
      </c>
      <c r="C29" s="34" t="s">
        <v>654</v>
      </c>
      <c r="D29" s="45">
        <v>1150</v>
      </c>
    </row>
    <row r="30" spans="2:4" ht="15.75">
      <c r="B30" s="35" t="s">
        <v>655</v>
      </c>
      <c r="C30" s="34" t="s">
        <v>656</v>
      </c>
      <c r="D30" s="45">
        <v>1200</v>
      </c>
    </row>
    <row r="31" spans="2:4" ht="15.75">
      <c r="B31" s="35" t="s">
        <v>657</v>
      </c>
      <c r="C31" s="34" t="s">
        <v>658</v>
      </c>
      <c r="D31" s="45">
        <v>1250</v>
      </c>
    </row>
    <row r="32" spans="2:4" ht="15.75">
      <c r="B32" s="35" t="s">
        <v>659</v>
      </c>
      <c r="C32" s="34" t="s">
        <v>660</v>
      </c>
      <c r="D32" s="45">
        <v>1800</v>
      </c>
    </row>
    <row r="33" spans="2:4" ht="15.75">
      <c r="B33" s="35" t="s">
        <v>661</v>
      </c>
      <c r="C33" s="34" t="s">
        <v>662</v>
      </c>
      <c r="D33" s="45">
        <v>1250</v>
      </c>
    </row>
    <row r="34" spans="2:4" ht="15.75">
      <c r="B34" s="35" t="s">
        <v>663</v>
      </c>
      <c r="C34" s="34" t="s">
        <v>664</v>
      </c>
      <c r="D34" s="45">
        <v>1150</v>
      </c>
    </row>
    <row r="35" spans="2:4" ht="15.75">
      <c r="B35" s="35" t="s">
        <v>665</v>
      </c>
      <c r="C35" s="34" t="s">
        <v>666</v>
      </c>
      <c r="D35" s="45">
        <v>1150</v>
      </c>
    </row>
    <row r="36" spans="2:4" ht="15.75">
      <c r="B36" s="35" t="s">
        <v>667</v>
      </c>
      <c r="C36" s="34" t="s">
        <v>668</v>
      </c>
      <c r="D36" s="45">
        <v>1200</v>
      </c>
    </row>
    <row r="37" spans="2:4" ht="15.75">
      <c r="B37" s="35" t="s">
        <v>669</v>
      </c>
      <c r="C37" s="34" t="s">
        <v>670</v>
      </c>
      <c r="D37" s="45">
        <v>1250</v>
      </c>
    </row>
    <row r="38" spans="2:4" ht="15.75">
      <c r="B38" s="35" t="s">
        <v>671</v>
      </c>
      <c r="C38" s="34" t="s">
        <v>672</v>
      </c>
      <c r="D38" s="45">
        <v>1800</v>
      </c>
    </row>
    <row r="39" spans="2:4" ht="15.75">
      <c r="B39" s="35" t="s">
        <v>673</v>
      </c>
      <c r="C39" s="34" t="s">
        <v>674</v>
      </c>
      <c r="D39" s="45">
        <v>1250</v>
      </c>
    </row>
    <row r="40" spans="2:4" ht="15.75">
      <c r="B40" s="35" t="s">
        <v>675</v>
      </c>
      <c r="C40" s="34" t="s">
        <v>676</v>
      </c>
      <c r="D40" s="45">
        <v>1150</v>
      </c>
    </row>
    <row r="41" spans="2:4" ht="15.75">
      <c r="B41" s="35" t="s">
        <v>677</v>
      </c>
      <c r="C41" s="34" t="s">
        <v>678</v>
      </c>
      <c r="D41" s="45">
        <v>930</v>
      </c>
    </row>
    <row r="42" spans="2:4" ht="15.75">
      <c r="B42" s="35" t="s">
        <v>679</v>
      </c>
      <c r="C42" s="34" t="s">
        <v>680</v>
      </c>
      <c r="D42" s="45">
        <v>980</v>
      </c>
    </row>
    <row r="43" spans="2:4" ht="15.75">
      <c r="B43" s="35" t="s">
        <v>681</v>
      </c>
      <c r="C43" s="34" t="s">
        <v>682</v>
      </c>
      <c r="D43" s="45">
        <v>1040</v>
      </c>
    </row>
    <row r="44" spans="2:4" ht="15.75">
      <c r="B44" s="35" t="s">
        <v>683</v>
      </c>
      <c r="C44" s="34" t="s">
        <v>684</v>
      </c>
      <c r="D44" s="45">
        <v>1670</v>
      </c>
    </row>
    <row r="45" spans="2:4" ht="15.75">
      <c r="B45" s="35" t="s">
        <v>685</v>
      </c>
      <c r="C45" s="34" t="s">
        <v>686</v>
      </c>
      <c r="D45" s="45">
        <v>1040</v>
      </c>
    </row>
    <row r="46" spans="2:4" ht="15.75">
      <c r="B46" s="35" t="s">
        <v>687</v>
      </c>
      <c r="C46" s="34" t="s">
        <v>688</v>
      </c>
      <c r="D46" s="45">
        <v>930</v>
      </c>
    </row>
    <row r="47" spans="2:4" ht="15.75">
      <c r="B47" s="35" t="s">
        <v>689</v>
      </c>
      <c r="C47" s="34" t="s">
        <v>690</v>
      </c>
      <c r="D47" s="45">
        <v>910</v>
      </c>
    </row>
    <row r="48" spans="2:4" ht="15.75">
      <c r="B48" s="35" t="s">
        <v>691</v>
      </c>
      <c r="C48" s="34" t="s">
        <v>692</v>
      </c>
      <c r="D48" s="45">
        <v>960</v>
      </c>
    </row>
    <row r="49" spans="2:4" ht="15.75">
      <c r="B49" s="35" t="s">
        <v>693</v>
      </c>
      <c r="C49" s="34" t="s">
        <v>694</v>
      </c>
      <c r="D49" s="45">
        <v>1020</v>
      </c>
    </row>
    <row r="50" spans="2:4" ht="15.75">
      <c r="B50" s="35" t="s">
        <v>695</v>
      </c>
      <c r="C50" s="34" t="s">
        <v>696</v>
      </c>
      <c r="D50" s="45">
        <v>1610</v>
      </c>
    </row>
    <row r="51" spans="2:4" ht="15.75">
      <c r="B51" s="35" t="s">
        <v>697</v>
      </c>
      <c r="C51" s="34" t="s">
        <v>698</v>
      </c>
      <c r="D51" s="45">
        <v>910</v>
      </c>
    </row>
    <row r="52" spans="2:4" ht="15.75">
      <c r="B52" s="35" t="s">
        <v>699</v>
      </c>
      <c r="C52" s="34" t="s">
        <v>700</v>
      </c>
      <c r="D52" s="45">
        <v>1020</v>
      </c>
    </row>
    <row r="53" spans="2:4" ht="15.75">
      <c r="B53" s="35" t="s">
        <v>701</v>
      </c>
      <c r="C53" s="34" t="s">
        <v>702</v>
      </c>
      <c r="D53" s="45">
        <v>910</v>
      </c>
    </row>
    <row r="54" spans="2:4" ht="15.75">
      <c r="B54" s="35" t="s">
        <v>703</v>
      </c>
      <c r="C54" s="34" t="s">
        <v>704</v>
      </c>
      <c r="D54" s="45">
        <v>960</v>
      </c>
    </row>
    <row r="55" spans="2:4" ht="15.75">
      <c r="B55" s="35" t="s">
        <v>705</v>
      </c>
      <c r="C55" s="34" t="s">
        <v>706</v>
      </c>
      <c r="D55" s="45">
        <v>1020</v>
      </c>
    </row>
    <row r="56" spans="2:4" ht="15.75">
      <c r="B56" s="35" t="s">
        <v>707</v>
      </c>
      <c r="C56" s="34" t="s">
        <v>708</v>
      </c>
      <c r="D56" s="45">
        <v>1610</v>
      </c>
    </row>
    <row r="57" spans="2:4" ht="15.75">
      <c r="B57" s="35" t="s">
        <v>709</v>
      </c>
      <c r="C57" s="34" t="s">
        <v>710</v>
      </c>
      <c r="D57" s="45">
        <v>910</v>
      </c>
    </row>
    <row r="58" spans="2:4" ht="15.75">
      <c r="B58" s="35" t="s">
        <v>711</v>
      </c>
      <c r="C58" s="34" t="s">
        <v>712</v>
      </c>
      <c r="D58" s="45">
        <v>1020</v>
      </c>
    </row>
    <row r="59" spans="2:4" ht="15.75">
      <c r="B59" s="35" t="s">
        <v>713</v>
      </c>
      <c r="C59" s="34" t="s">
        <v>714</v>
      </c>
      <c r="D59" s="45">
        <v>1090</v>
      </c>
    </row>
    <row r="60" spans="2:4" ht="15.75">
      <c r="B60" s="35" t="s">
        <v>715</v>
      </c>
      <c r="C60" s="34" t="s">
        <v>716</v>
      </c>
      <c r="D60" s="45">
        <v>1150</v>
      </c>
    </row>
    <row r="61" spans="2:4" ht="15.75">
      <c r="B61" s="35" t="s">
        <v>717</v>
      </c>
      <c r="C61" s="34" t="s">
        <v>718</v>
      </c>
      <c r="D61" s="45">
        <v>1200</v>
      </c>
    </row>
    <row r="62" spans="2:4" ht="15.75">
      <c r="B62" s="35" t="s">
        <v>719</v>
      </c>
      <c r="C62" s="34" t="s">
        <v>720</v>
      </c>
      <c r="D62" s="45">
        <v>1610</v>
      </c>
    </row>
    <row r="63" spans="2:4" ht="15.75">
      <c r="B63" s="35" t="s">
        <v>721</v>
      </c>
      <c r="C63" s="34" t="s">
        <v>722</v>
      </c>
      <c r="D63" s="45">
        <v>1090</v>
      </c>
    </row>
    <row r="64" spans="2:4" ht="15.75">
      <c r="B64" s="35" t="s">
        <v>723</v>
      </c>
      <c r="C64" s="34" t="s">
        <v>724</v>
      </c>
      <c r="D64" s="45">
        <v>1200</v>
      </c>
    </row>
    <row r="65" spans="2:4" ht="15.75">
      <c r="B65" s="35" t="s">
        <v>725</v>
      </c>
      <c r="C65" s="34" t="s">
        <v>726</v>
      </c>
      <c r="D65" s="45">
        <v>1090</v>
      </c>
    </row>
    <row r="66" spans="2:4" ht="15.75">
      <c r="B66" s="35" t="s">
        <v>727</v>
      </c>
      <c r="C66" s="34" t="s">
        <v>728</v>
      </c>
      <c r="D66" s="45">
        <v>1150</v>
      </c>
    </row>
    <row r="67" spans="2:4" ht="15.75">
      <c r="B67" s="35" t="s">
        <v>729</v>
      </c>
      <c r="C67" s="34" t="s">
        <v>730</v>
      </c>
      <c r="D67" s="45">
        <v>1200</v>
      </c>
    </row>
    <row r="68" spans="2:4" ht="15.75">
      <c r="B68" s="35" t="s">
        <v>731</v>
      </c>
      <c r="C68" s="34" t="s">
        <v>732</v>
      </c>
      <c r="D68" s="45">
        <v>1610</v>
      </c>
    </row>
    <row r="69" spans="2:4" ht="15.75">
      <c r="B69" s="35" t="s">
        <v>733</v>
      </c>
      <c r="C69" s="34" t="s">
        <v>722</v>
      </c>
      <c r="D69" s="45">
        <v>1090</v>
      </c>
    </row>
    <row r="70" spans="2:4" ht="15.75">
      <c r="B70" s="35" t="s">
        <v>734</v>
      </c>
      <c r="C70" s="34" t="s">
        <v>724</v>
      </c>
      <c r="D70" s="45">
        <v>1200</v>
      </c>
    </row>
    <row r="71" spans="2:4" ht="15.75">
      <c r="B71" s="35" t="s">
        <v>735</v>
      </c>
      <c r="C71" s="34" t="s">
        <v>736</v>
      </c>
      <c r="D71" s="45">
        <v>1090</v>
      </c>
    </row>
    <row r="72" spans="2:4" ht="15.75">
      <c r="B72" s="35" t="s">
        <v>737</v>
      </c>
      <c r="C72" s="34" t="s">
        <v>738</v>
      </c>
      <c r="D72" s="45">
        <v>1150</v>
      </c>
    </row>
    <row r="73" spans="2:4" ht="15.75">
      <c r="B73" s="35" t="s">
        <v>739</v>
      </c>
      <c r="C73" s="34" t="s">
        <v>740</v>
      </c>
      <c r="D73" s="45">
        <v>1200</v>
      </c>
    </row>
    <row r="74" spans="2:4" ht="15.75">
      <c r="B74" s="35" t="s">
        <v>741</v>
      </c>
      <c r="C74" s="34" t="s">
        <v>742</v>
      </c>
      <c r="D74" s="45">
        <v>1610</v>
      </c>
    </row>
    <row r="75" spans="2:4" ht="15.75">
      <c r="B75" s="35" t="s">
        <v>743</v>
      </c>
      <c r="C75" s="34" t="s">
        <v>722</v>
      </c>
      <c r="D75" s="45">
        <v>1090</v>
      </c>
    </row>
    <row r="76" spans="2:4" ht="15.75">
      <c r="B76" s="35" t="s">
        <v>744</v>
      </c>
      <c r="C76" s="34" t="s">
        <v>724</v>
      </c>
      <c r="D76" s="45">
        <v>1200</v>
      </c>
    </row>
    <row r="77" spans="2:4" ht="15.75">
      <c r="B77" s="35" t="s">
        <v>745</v>
      </c>
      <c r="C77" s="34" t="s">
        <v>746</v>
      </c>
      <c r="D77" s="45">
        <v>330</v>
      </c>
    </row>
    <row r="78" spans="2:4" ht="15.75">
      <c r="B78" s="35" t="s">
        <v>747</v>
      </c>
      <c r="C78" s="34" t="s">
        <v>748</v>
      </c>
      <c r="D78" s="45">
        <v>360</v>
      </c>
    </row>
    <row r="79" spans="2:4" ht="15.75">
      <c r="B79" s="35" t="s">
        <v>749</v>
      </c>
      <c r="C79" s="34" t="s">
        <v>750</v>
      </c>
      <c r="D79" s="45">
        <v>420</v>
      </c>
    </row>
    <row r="80" spans="2:4" ht="15.75">
      <c r="B80" s="35" t="s">
        <v>751</v>
      </c>
      <c r="C80" s="34" t="s">
        <v>752</v>
      </c>
      <c r="D80" s="45">
        <v>470</v>
      </c>
    </row>
    <row r="81" spans="2:4" ht="15.75">
      <c r="B81" s="35" t="s">
        <v>753</v>
      </c>
      <c r="C81" s="34" t="s">
        <v>754</v>
      </c>
      <c r="D81" s="45">
        <v>330</v>
      </c>
    </row>
    <row r="82" spans="2:4" ht="15.75">
      <c r="B82" s="35" t="s">
        <v>755</v>
      </c>
      <c r="C82" s="34" t="s">
        <v>756</v>
      </c>
      <c r="D82" s="45">
        <v>3500</v>
      </c>
    </row>
    <row r="83" spans="2:4" ht="15.75">
      <c r="B83" s="35" t="s">
        <v>757</v>
      </c>
      <c r="C83" s="34" t="s">
        <v>758</v>
      </c>
      <c r="D83" s="45">
        <v>3600</v>
      </c>
    </row>
    <row r="84" spans="2:4" ht="15.75">
      <c r="B84" s="35" t="s">
        <v>759</v>
      </c>
      <c r="C84" s="34" t="s">
        <v>760</v>
      </c>
      <c r="D84" s="45">
        <v>3800</v>
      </c>
    </row>
    <row r="85" spans="2:4" ht="15.75">
      <c r="B85" s="35" t="s">
        <v>761</v>
      </c>
      <c r="C85" s="34" t="s">
        <v>762</v>
      </c>
      <c r="D85" s="45">
        <v>7200</v>
      </c>
    </row>
    <row r="86" spans="2:4" ht="15.75">
      <c r="B86" s="35" t="s">
        <v>763</v>
      </c>
      <c r="C86" s="34" t="s">
        <v>764</v>
      </c>
      <c r="D86" s="45">
        <v>3500</v>
      </c>
    </row>
    <row r="87" spans="2:4" ht="15.75">
      <c r="B87" s="35" t="s">
        <v>765</v>
      </c>
      <c r="C87" s="34" t="s">
        <v>766</v>
      </c>
      <c r="D87" s="45">
        <v>3800</v>
      </c>
    </row>
    <row r="88" spans="2:4" ht="15.75">
      <c r="B88" s="35" t="s">
        <v>767</v>
      </c>
      <c r="C88" s="34" t="s">
        <v>768</v>
      </c>
      <c r="D88" s="45">
        <v>3500</v>
      </c>
    </row>
    <row r="89" spans="2:4" ht="15.75">
      <c r="B89" s="35" t="s">
        <v>769</v>
      </c>
      <c r="C89" s="34" t="s">
        <v>770</v>
      </c>
      <c r="D89" s="45">
        <v>3600</v>
      </c>
    </row>
    <row r="90" spans="2:4" ht="15.75">
      <c r="B90" s="35" t="s">
        <v>771</v>
      </c>
      <c r="C90" s="34" t="s">
        <v>772</v>
      </c>
      <c r="D90" s="45">
        <v>3800</v>
      </c>
    </row>
    <row r="91" spans="2:4" ht="15.75">
      <c r="B91" s="35" t="s">
        <v>773</v>
      </c>
      <c r="C91" s="34" t="s">
        <v>774</v>
      </c>
      <c r="D91" s="45">
        <v>7200</v>
      </c>
    </row>
    <row r="92" spans="2:4" ht="15.75">
      <c r="B92" s="35" t="s">
        <v>775</v>
      </c>
      <c r="C92" s="34" t="s">
        <v>764</v>
      </c>
      <c r="D92" s="45">
        <v>3500</v>
      </c>
    </row>
    <row r="93" spans="2:4" ht="15.75">
      <c r="B93" s="35" t="s">
        <v>776</v>
      </c>
      <c r="C93" s="34" t="s">
        <v>766</v>
      </c>
      <c r="D93" s="45">
        <v>3800</v>
      </c>
    </row>
    <row r="94" spans="2:4" ht="15.75">
      <c r="B94" s="35" t="s">
        <v>777</v>
      </c>
      <c r="C94" s="34" t="s">
        <v>778</v>
      </c>
      <c r="D94" s="45">
        <v>3700</v>
      </c>
    </row>
    <row r="95" spans="2:4" ht="15.75">
      <c r="B95" s="35" t="s">
        <v>779</v>
      </c>
      <c r="C95" s="34" t="s">
        <v>780</v>
      </c>
      <c r="D95" s="45">
        <v>3900</v>
      </c>
    </row>
    <row r="96" spans="2:4" ht="15.75">
      <c r="B96" s="35" t="s">
        <v>781</v>
      </c>
      <c r="C96" s="34" t="s">
        <v>782</v>
      </c>
      <c r="D96" s="45">
        <v>4100</v>
      </c>
    </row>
    <row r="97" spans="2:4" ht="15.75">
      <c r="B97" s="35" t="s">
        <v>783</v>
      </c>
      <c r="C97" s="34" t="s">
        <v>784</v>
      </c>
      <c r="D97" s="45">
        <v>7550</v>
      </c>
    </row>
    <row r="98" spans="2:4" ht="15.75">
      <c r="B98" s="35" t="s">
        <v>785</v>
      </c>
      <c r="C98" s="34" t="s">
        <v>764</v>
      </c>
      <c r="D98" s="45">
        <v>3700</v>
      </c>
    </row>
    <row r="99" spans="2:4" ht="15.75">
      <c r="B99" s="35" t="s">
        <v>786</v>
      </c>
      <c r="C99" s="34" t="s">
        <v>766</v>
      </c>
      <c r="D99" s="45">
        <v>4100</v>
      </c>
    </row>
    <row r="100" spans="2:4" ht="15.75">
      <c r="B100" s="35" t="s">
        <v>787</v>
      </c>
      <c r="C100" s="34" t="s">
        <v>788</v>
      </c>
      <c r="D100" s="45">
        <v>4000</v>
      </c>
    </row>
    <row r="101" spans="2:4" ht="15.75">
      <c r="B101" s="35" t="s">
        <v>789</v>
      </c>
      <c r="C101" s="34" t="s">
        <v>790</v>
      </c>
      <c r="D101" s="45">
        <v>4150</v>
      </c>
    </row>
    <row r="102" spans="2:4" ht="15.75">
      <c r="B102" s="35" t="s">
        <v>791</v>
      </c>
      <c r="C102" s="34" t="s">
        <v>792</v>
      </c>
      <c r="D102" s="45">
        <v>4350</v>
      </c>
    </row>
    <row r="103" spans="2:4" ht="15.75">
      <c r="B103" s="35" t="s">
        <v>793</v>
      </c>
      <c r="C103" s="34" t="s">
        <v>794</v>
      </c>
      <c r="D103" s="45">
        <v>7550</v>
      </c>
    </row>
    <row r="104" spans="2:4" ht="15.75">
      <c r="B104" s="35" t="s">
        <v>795</v>
      </c>
      <c r="C104" s="34" t="s">
        <v>764</v>
      </c>
      <c r="D104" s="45">
        <v>4000</v>
      </c>
    </row>
    <row r="105" spans="2:4" ht="15.75">
      <c r="B105" s="35" t="s">
        <v>796</v>
      </c>
      <c r="C105" s="34" t="s">
        <v>766</v>
      </c>
      <c r="D105" s="45">
        <v>4350</v>
      </c>
    </row>
    <row r="106" spans="2:4" ht="15.75">
      <c r="B106" s="35" t="s">
        <v>797</v>
      </c>
      <c r="C106" s="34" t="s">
        <v>798</v>
      </c>
      <c r="D106" s="45">
        <v>4000</v>
      </c>
    </row>
    <row r="107" spans="2:4" ht="15.75">
      <c r="B107" s="35" t="s">
        <v>799</v>
      </c>
      <c r="C107" s="34" t="s">
        <v>800</v>
      </c>
      <c r="D107" s="45">
        <v>4150</v>
      </c>
    </row>
    <row r="108" spans="2:4" ht="15.75">
      <c r="B108" s="35" t="s">
        <v>801</v>
      </c>
      <c r="C108" s="34" t="s">
        <v>802</v>
      </c>
      <c r="D108" s="45">
        <v>4350</v>
      </c>
    </row>
    <row r="109" spans="2:4" ht="15.75">
      <c r="B109" s="35" t="s">
        <v>803</v>
      </c>
      <c r="C109" s="34" t="s">
        <v>804</v>
      </c>
      <c r="D109" s="45">
        <v>7550</v>
      </c>
    </row>
    <row r="110" spans="2:4" ht="15.75">
      <c r="B110" s="35" t="s">
        <v>805</v>
      </c>
      <c r="C110" s="34" t="s">
        <v>764</v>
      </c>
      <c r="D110" s="45">
        <v>4000</v>
      </c>
    </row>
    <row r="111" spans="2:4" ht="15.75">
      <c r="B111" s="35" t="s">
        <v>806</v>
      </c>
      <c r="C111" s="34" t="s">
        <v>766</v>
      </c>
      <c r="D111" s="45">
        <v>4350</v>
      </c>
    </row>
    <row r="112" spans="2:4" ht="15.75">
      <c r="B112" s="35" t="s">
        <v>807</v>
      </c>
      <c r="C112" s="34" t="s">
        <v>808</v>
      </c>
      <c r="D112" s="45">
        <v>1610</v>
      </c>
    </row>
    <row r="113" spans="2:4" ht="15.75">
      <c r="B113" s="35" t="s">
        <v>809</v>
      </c>
      <c r="C113" s="34" t="s">
        <v>810</v>
      </c>
      <c r="D113" s="45">
        <v>1720</v>
      </c>
    </row>
    <row r="114" spans="2:4" ht="15.75">
      <c r="B114" s="35" t="s">
        <v>811</v>
      </c>
      <c r="C114" s="34" t="s">
        <v>812</v>
      </c>
      <c r="D114" s="45">
        <v>1850</v>
      </c>
    </row>
    <row r="115" spans="2:4" ht="15.75">
      <c r="B115" s="35" t="s">
        <v>813</v>
      </c>
      <c r="C115" s="34" t="s">
        <v>814</v>
      </c>
      <c r="D115" s="45">
        <v>4500</v>
      </c>
    </row>
    <row r="116" spans="2:4" ht="15.75">
      <c r="B116" s="35" t="s">
        <v>815</v>
      </c>
      <c r="C116" s="34" t="s">
        <v>816</v>
      </c>
      <c r="D116" s="45">
        <v>1650</v>
      </c>
    </row>
    <row r="117" spans="2:4" ht="15.75">
      <c r="B117" s="35" t="s">
        <v>817</v>
      </c>
      <c r="C117" s="34" t="s">
        <v>818</v>
      </c>
      <c r="D117" s="45">
        <v>1900</v>
      </c>
    </row>
    <row r="118" spans="2:4" ht="15.75">
      <c r="B118" s="35" t="s">
        <v>819</v>
      </c>
      <c r="C118" s="34" t="s">
        <v>820</v>
      </c>
      <c r="D118" s="45">
        <v>1610</v>
      </c>
    </row>
    <row r="119" spans="2:4" ht="15.75">
      <c r="B119" s="35" t="s">
        <v>821</v>
      </c>
      <c r="C119" s="34" t="s">
        <v>822</v>
      </c>
      <c r="D119" s="45">
        <v>1720</v>
      </c>
    </row>
    <row r="120" spans="2:4" ht="15.6">
      <c r="B120" s="35" t="s">
        <v>823</v>
      </c>
      <c r="C120" s="34" t="s">
        <v>824</v>
      </c>
      <c r="D120" s="45">
        <v>1850</v>
      </c>
    </row>
    <row r="121" spans="2:4" ht="15.6">
      <c r="B121" s="35" t="s">
        <v>825</v>
      </c>
      <c r="C121" s="34" t="s">
        <v>826</v>
      </c>
      <c r="D121" s="45">
        <v>4500</v>
      </c>
    </row>
    <row r="122" spans="2:4" ht="15.75">
      <c r="B122" s="35" t="s">
        <v>827</v>
      </c>
      <c r="C122" s="34" t="s">
        <v>816</v>
      </c>
      <c r="D122" s="45">
        <v>1650</v>
      </c>
    </row>
    <row r="123" spans="2:4" ht="15.75">
      <c r="B123" s="35" t="s">
        <v>828</v>
      </c>
      <c r="C123" s="34" t="s">
        <v>818</v>
      </c>
      <c r="D123" s="45">
        <v>2000</v>
      </c>
    </row>
    <row r="124" spans="2:4" ht="15.75">
      <c r="B124" s="35" t="s">
        <v>829</v>
      </c>
      <c r="C124" s="34" t="s">
        <v>830</v>
      </c>
      <c r="D124" s="45">
        <v>1900</v>
      </c>
    </row>
    <row r="125" spans="2:4" ht="15.75">
      <c r="B125" s="35" t="s">
        <v>831</v>
      </c>
      <c r="C125" s="34" t="s">
        <v>832</v>
      </c>
      <c r="D125" s="45">
        <v>2100</v>
      </c>
    </row>
    <row r="126" spans="2:4" ht="15.75">
      <c r="B126" s="35" t="s">
        <v>833</v>
      </c>
      <c r="C126" s="34" t="s">
        <v>834</v>
      </c>
      <c r="D126" s="45">
        <v>2340</v>
      </c>
    </row>
    <row r="127" spans="2:4" ht="15.75">
      <c r="B127" s="35" t="s">
        <v>835</v>
      </c>
      <c r="C127" s="34" t="s">
        <v>836</v>
      </c>
      <c r="D127" s="45">
        <v>4900</v>
      </c>
    </row>
    <row r="128" spans="2:4" ht="15.75">
      <c r="B128" s="35" t="s">
        <v>837</v>
      </c>
      <c r="C128" s="34" t="s">
        <v>816</v>
      </c>
      <c r="D128" s="45">
        <v>1900</v>
      </c>
    </row>
    <row r="129" spans="2:4" ht="15.75">
      <c r="B129" s="35" t="s">
        <v>838</v>
      </c>
      <c r="C129" s="34" t="s">
        <v>818</v>
      </c>
      <c r="D129" s="45">
        <v>2250</v>
      </c>
    </row>
    <row r="130" spans="2:4" ht="15.75">
      <c r="B130" s="35" t="s">
        <v>839</v>
      </c>
      <c r="C130" s="34" t="s">
        <v>840</v>
      </c>
      <c r="D130" s="45">
        <v>1900</v>
      </c>
    </row>
    <row r="131" spans="2:4" ht="15.75">
      <c r="B131" s="35" t="s">
        <v>841</v>
      </c>
      <c r="C131" s="34" t="s">
        <v>842</v>
      </c>
      <c r="D131" s="45">
        <v>2100</v>
      </c>
    </row>
    <row r="132" spans="2:4" ht="15.75">
      <c r="B132" s="35" t="s">
        <v>843</v>
      </c>
      <c r="C132" s="34" t="s">
        <v>844</v>
      </c>
      <c r="D132" s="45">
        <v>2340</v>
      </c>
    </row>
    <row r="133" spans="2:4" ht="15.75">
      <c r="B133" s="35" t="s">
        <v>845</v>
      </c>
      <c r="C133" s="34" t="s">
        <v>846</v>
      </c>
      <c r="D133" s="45">
        <v>4900</v>
      </c>
    </row>
    <row r="134" spans="2:4" ht="15.75">
      <c r="B134" s="35" t="s">
        <v>847</v>
      </c>
      <c r="C134" s="34" t="s">
        <v>816</v>
      </c>
      <c r="D134" s="45">
        <v>1900</v>
      </c>
    </row>
    <row r="135" spans="2:4" ht="15.75">
      <c r="B135" s="35" t="s">
        <v>848</v>
      </c>
      <c r="C135" s="34" t="s">
        <v>818</v>
      </c>
      <c r="D135" s="45">
        <v>2250</v>
      </c>
    </row>
    <row r="136" spans="2:4" ht="15.75">
      <c r="B136" s="35" t="s">
        <v>849</v>
      </c>
      <c r="C136" s="34" t="s">
        <v>850</v>
      </c>
      <c r="D136" s="45">
        <v>1900</v>
      </c>
    </row>
    <row r="137" spans="2:4" ht="15.75">
      <c r="B137" s="35" t="s">
        <v>851</v>
      </c>
      <c r="C137" s="34" t="s">
        <v>852</v>
      </c>
      <c r="D137" s="45">
        <v>2100</v>
      </c>
    </row>
    <row r="138" spans="2:4" ht="15.75">
      <c r="B138" s="35" t="s">
        <v>853</v>
      </c>
      <c r="C138" s="34" t="s">
        <v>854</v>
      </c>
      <c r="D138" s="45">
        <v>2340</v>
      </c>
    </row>
    <row r="139" spans="2:4" ht="15.75">
      <c r="B139" s="35" t="s">
        <v>855</v>
      </c>
      <c r="C139" s="34" t="s">
        <v>856</v>
      </c>
      <c r="D139" s="45">
        <v>4900</v>
      </c>
    </row>
    <row r="140" spans="2:4" ht="15.75">
      <c r="B140" s="35" t="s">
        <v>857</v>
      </c>
      <c r="C140" s="34" t="s">
        <v>816</v>
      </c>
      <c r="D140" s="45">
        <v>1900</v>
      </c>
    </row>
    <row r="141" spans="2:4" ht="15.75">
      <c r="B141" s="35" t="s">
        <v>858</v>
      </c>
      <c r="C141" s="34" t="s">
        <v>818</v>
      </c>
      <c r="D141" s="45">
        <v>2250</v>
      </c>
    </row>
    <row r="142" spans="2:4" ht="15.75">
      <c r="B142" s="35" t="s">
        <v>859</v>
      </c>
      <c r="C142" s="34" t="s">
        <v>860</v>
      </c>
      <c r="D142" s="45">
        <v>1200</v>
      </c>
    </row>
    <row r="143" spans="2:4" ht="15.75">
      <c r="B143" s="35" t="s">
        <v>861</v>
      </c>
      <c r="C143" s="34" t="s">
        <v>862</v>
      </c>
      <c r="D143" s="45">
        <v>1240</v>
      </c>
    </row>
    <row r="144" spans="2:4" ht="15.75">
      <c r="B144" s="35" t="s">
        <v>863</v>
      </c>
      <c r="C144" s="34" t="s">
        <v>864</v>
      </c>
      <c r="D144" s="45">
        <v>1360</v>
      </c>
    </row>
    <row r="145" spans="2:4" ht="15.75">
      <c r="B145" s="35" t="s">
        <v>865</v>
      </c>
      <c r="C145" s="34" t="s">
        <v>866</v>
      </c>
      <c r="D145" s="45">
        <v>1200</v>
      </c>
    </row>
    <row r="146" spans="2:4" ht="15.75">
      <c r="B146" s="35" t="s">
        <v>867</v>
      </c>
      <c r="C146" s="34" t="s">
        <v>868</v>
      </c>
      <c r="D146" s="45">
        <v>1180</v>
      </c>
    </row>
    <row r="147" spans="2:4" ht="15.75">
      <c r="B147" s="35" t="s">
        <v>869</v>
      </c>
      <c r="C147" s="34" t="s">
        <v>870</v>
      </c>
      <c r="D147" s="45">
        <v>1240</v>
      </c>
    </row>
    <row r="148" spans="2:4" ht="15.75">
      <c r="B148" s="35" t="s">
        <v>871</v>
      </c>
      <c r="C148" s="34" t="s">
        <v>872</v>
      </c>
      <c r="D148" s="45">
        <v>1360</v>
      </c>
    </row>
    <row r="149" spans="2:4" ht="15.75">
      <c r="B149" s="35" t="s">
        <v>873</v>
      </c>
      <c r="C149" s="34" t="s">
        <v>866</v>
      </c>
      <c r="D149" s="45">
        <v>1180</v>
      </c>
    </row>
    <row r="150" spans="2:4" ht="15.75">
      <c r="B150" s="35" t="s">
        <v>874</v>
      </c>
      <c r="C150" s="34" t="s">
        <v>875</v>
      </c>
      <c r="D150" s="45">
        <v>1300</v>
      </c>
    </row>
    <row r="151" spans="2:4" ht="15.75">
      <c r="B151" s="35" t="s">
        <v>876</v>
      </c>
      <c r="C151" s="34" t="s">
        <v>877</v>
      </c>
      <c r="D151" s="45">
        <v>1360</v>
      </c>
    </row>
    <row r="152" spans="2:4" ht="15.75">
      <c r="B152" s="35" t="s">
        <v>878</v>
      </c>
      <c r="C152" s="34" t="s">
        <v>879</v>
      </c>
      <c r="D152" s="45">
        <v>1480</v>
      </c>
    </row>
    <row r="153" spans="2:4" ht="15.75">
      <c r="B153" s="35" t="s">
        <v>880</v>
      </c>
      <c r="C153" s="34" t="s">
        <v>866</v>
      </c>
      <c r="D153" s="45">
        <v>1300</v>
      </c>
    </row>
    <row r="154" spans="2:4" ht="15.75">
      <c r="B154" s="35" t="s">
        <v>881</v>
      </c>
      <c r="C154" s="34" t="s">
        <v>882</v>
      </c>
      <c r="D154" s="45">
        <v>1300</v>
      </c>
    </row>
    <row r="155" spans="2:4" ht="15.75">
      <c r="B155" s="35" t="s">
        <v>883</v>
      </c>
      <c r="C155" s="34" t="s">
        <v>884</v>
      </c>
      <c r="D155" s="45">
        <v>1360</v>
      </c>
    </row>
    <row r="156" spans="2:4" ht="15.75">
      <c r="B156" s="35" t="s">
        <v>885</v>
      </c>
      <c r="C156" s="34" t="s">
        <v>886</v>
      </c>
      <c r="D156" s="45">
        <v>1480</v>
      </c>
    </row>
    <row r="157" spans="2:4" ht="15.75">
      <c r="B157" s="35" t="s">
        <v>887</v>
      </c>
      <c r="C157" s="34" t="s">
        <v>866</v>
      </c>
      <c r="D157" s="45">
        <v>1300</v>
      </c>
    </row>
    <row r="158" spans="2:4" ht="15.75">
      <c r="B158" s="35" t="s">
        <v>888</v>
      </c>
      <c r="C158" s="34" t="s">
        <v>889</v>
      </c>
      <c r="D158" s="45">
        <v>1300</v>
      </c>
    </row>
    <row r="159" spans="2:4" ht="15.75">
      <c r="B159" s="35" t="s">
        <v>890</v>
      </c>
      <c r="C159" s="34" t="s">
        <v>891</v>
      </c>
      <c r="D159" s="45">
        <v>1360</v>
      </c>
    </row>
    <row r="160" spans="2:4" ht="15.75">
      <c r="B160" s="35" t="s">
        <v>892</v>
      </c>
      <c r="C160" s="34" t="s">
        <v>893</v>
      </c>
      <c r="D160" s="45">
        <v>1480</v>
      </c>
    </row>
    <row r="161" spans="2:4" ht="15.75">
      <c r="B161" s="35" t="s">
        <v>894</v>
      </c>
      <c r="C161" s="34" t="s">
        <v>866</v>
      </c>
      <c r="D161" s="45">
        <v>1300</v>
      </c>
    </row>
    <row r="162" spans="2:4" ht="15.75">
      <c r="B162" s="35" t="s">
        <v>895</v>
      </c>
      <c r="C162" s="34" t="s">
        <v>896</v>
      </c>
      <c r="D162" s="45">
        <v>775</v>
      </c>
    </row>
    <row r="163" spans="2:4" ht="15.75">
      <c r="B163" s="35" t="s">
        <v>897</v>
      </c>
      <c r="C163" s="34" t="s">
        <v>898</v>
      </c>
      <c r="D163" s="45">
        <v>825</v>
      </c>
    </row>
    <row r="164" spans="2:4" ht="15.75">
      <c r="B164" s="35" t="s">
        <v>899</v>
      </c>
      <c r="C164" s="34" t="s">
        <v>900</v>
      </c>
      <c r="D164" s="45">
        <v>895</v>
      </c>
    </row>
    <row r="165" spans="2:4" ht="15.75">
      <c r="B165" s="35" t="s">
        <v>901</v>
      </c>
      <c r="C165" s="34" t="s">
        <v>902</v>
      </c>
      <c r="D165" s="45">
        <v>2080</v>
      </c>
    </row>
    <row r="166" spans="2:4" ht="15.75">
      <c r="B166" s="35" t="s">
        <v>903</v>
      </c>
      <c r="C166" s="34" t="s">
        <v>904</v>
      </c>
      <c r="D166" s="45">
        <v>775</v>
      </c>
    </row>
    <row r="167" spans="2:4" ht="15.75">
      <c r="B167" s="35" t="s">
        <v>905</v>
      </c>
      <c r="C167" s="34" t="s">
        <v>906</v>
      </c>
      <c r="D167" s="45">
        <v>895</v>
      </c>
    </row>
    <row r="168" spans="2:4" ht="15.75">
      <c r="B168" s="35" t="s">
        <v>907</v>
      </c>
      <c r="C168" s="34" t="s">
        <v>908</v>
      </c>
      <c r="D168" s="45">
        <v>960</v>
      </c>
    </row>
    <row r="169" spans="2:4" ht="15.75">
      <c r="B169" s="35" t="s">
        <v>909</v>
      </c>
      <c r="C169" s="34" t="s">
        <v>910</v>
      </c>
      <c r="D169" s="45">
        <v>990</v>
      </c>
    </row>
    <row r="170" spans="2:4" ht="15.75">
      <c r="B170" s="35" t="s">
        <v>911</v>
      </c>
      <c r="C170" s="34" t="s">
        <v>912</v>
      </c>
      <c r="D170" s="45">
        <v>1040</v>
      </c>
    </row>
    <row r="171" spans="2:4" ht="15.75">
      <c r="B171" s="35" t="s">
        <v>913</v>
      </c>
      <c r="C171" s="34" t="s">
        <v>914</v>
      </c>
      <c r="D171" s="45">
        <v>1770</v>
      </c>
    </row>
    <row r="172" spans="2:4" ht="15.75">
      <c r="B172" s="35" t="s">
        <v>915</v>
      </c>
      <c r="C172" s="34" t="s">
        <v>916</v>
      </c>
      <c r="D172" s="45">
        <v>960</v>
      </c>
    </row>
    <row r="173" spans="2:4" ht="15.75">
      <c r="B173" s="35" t="s">
        <v>917</v>
      </c>
      <c r="C173" s="34" t="s">
        <v>906</v>
      </c>
      <c r="D173" s="45">
        <v>1040</v>
      </c>
    </row>
    <row r="174" spans="2:4" ht="15.75">
      <c r="B174" s="35" t="s">
        <v>918</v>
      </c>
      <c r="C174" s="34" t="s">
        <v>919</v>
      </c>
      <c r="D174" s="45">
        <v>960</v>
      </c>
    </row>
    <row r="175" spans="2:4" ht="15.75">
      <c r="B175" s="35" t="s">
        <v>920</v>
      </c>
      <c r="C175" s="34" t="s">
        <v>921</v>
      </c>
      <c r="D175" s="45">
        <v>990</v>
      </c>
    </row>
    <row r="176" spans="2:4" ht="15.75">
      <c r="B176" s="35" t="s">
        <v>922</v>
      </c>
      <c r="C176" s="34" t="s">
        <v>923</v>
      </c>
      <c r="D176" s="45">
        <v>1040</v>
      </c>
    </row>
    <row r="177" spans="2:4" ht="15.75">
      <c r="B177" s="35" t="s">
        <v>924</v>
      </c>
      <c r="C177" s="34" t="s">
        <v>925</v>
      </c>
      <c r="D177" s="45">
        <v>1770</v>
      </c>
    </row>
    <row r="178" spans="2:4" ht="15.75">
      <c r="B178" s="35" t="s">
        <v>926</v>
      </c>
      <c r="C178" s="34" t="s">
        <v>927</v>
      </c>
      <c r="D178" s="45">
        <v>960</v>
      </c>
    </row>
    <row r="179" spans="2:4" ht="15.75">
      <c r="B179" s="35" t="s">
        <v>928</v>
      </c>
      <c r="C179" s="34" t="s">
        <v>929</v>
      </c>
      <c r="D179" s="45">
        <v>1040</v>
      </c>
    </row>
    <row r="180" spans="2:4" ht="15.75">
      <c r="B180" s="35" t="s">
        <v>930</v>
      </c>
      <c r="C180" s="34" t="s">
        <v>931</v>
      </c>
      <c r="D180" s="45">
        <v>960</v>
      </c>
    </row>
    <row r="181" spans="2:4" ht="15.75">
      <c r="B181" s="35" t="s">
        <v>932</v>
      </c>
      <c r="C181" s="34" t="s">
        <v>933</v>
      </c>
      <c r="D181" s="45">
        <v>990</v>
      </c>
    </row>
    <row r="182" spans="2:4" ht="15.75">
      <c r="B182" s="35" t="s">
        <v>934</v>
      </c>
      <c r="C182" s="34" t="s">
        <v>935</v>
      </c>
      <c r="D182" s="45">
        <v>1040</v>
      </c>
    </row>
    <row r="183" spans="2:4" ht="15.75">
      <c r="B183" s="35" t="s">
        <v>936</v>
      </c>
      <c r="C183" s="34" t="s">
        <v>937</v>
      </c>
      <c r="D183" s="45">
        <v>1770</v>
      </c>
    </row>
    <row r="184" spans="2:4" ht="15.75">
      <c r="B184" s="35" t="s">
        <v>938</v>
      </c>
      <c r="C184" s="34" t="s">
        <v>939</v>
      </c>
      <c r="D184" s="45">
        <v>960</v>
      </c>
    </row>
    <row r="185" spans="2:4" ht="15.75">
      <c r="B185" s="35" t="s">
        <v>940</v>
      </c>
      <c r="C185" s="34" t="s">
        <v>941</v>
      </c>
      <c r="D185" s="45">
        <v>1040</v>
      </c>
    </row>
    <row r="186" spans="2:4" ht="15.75">
      <c r="B186" s="35" t="s">
        <v>895</v>
      </c>
      <c r="C186" s="34" t="s">
        <v>896</v>
      </c>
      <c r="D186" s="45">
        <v>775</v>
      </c>
    </row>
    <row r="187" spans="2:4" ht="15.75">
      <c r="B187" s="35" t="s">
        <v>897</v>
      </c>
      <c r="C187" s="34" t="s">
        <v>898</v>
      </c>
      <c r="D187" s="45">
        <v>825</v>
      </c>
    </row>
    <row r="188" spans="2:4" ht="15.75">
      <c r="B188" s="35" t="s">
        <v>899</v>
      </c>
      <c r="C188" s="34" t="s">
        <v>900</v>
      </c>
      <c r="D188" s="45">
        <v>895</v>
      </c>
    </row>
    <row r="189" spans="2:4" ht="15.75">
      <c r="B189" s="35" t="s">
        <v>901</v>
      </c>
      <c r="C189" s="34" t="s">
        <v>902</v>
      </c>
      <c r="D189" s="45">
        <v>2080</v>
      </c>
    </row>
    <row r="190" spans="2:4" ht="15.75">
      <c r="B190" s="35" t="s">
        <v>903</v>
      </c>
      <c r="C190" s="34" t="s">
        <v>904</v>
      </c>
      <c r="D190" s="45">
        <v>775</v>
      </c>
    </row>
    <row r="191" spans="2:4" ht="15.75">
      <c r="B191" s="35" t="s">
        <v>905</v>
      </c>
      <c r="C191" s="34" t="s">
        <v>942</v>
      </c>
      <c r="D191" s="45">
        <v>895</v>
      </c>
    </row>
    <row r="192" spans="2:4" ht="15.75">
      <c r="B192" s="35" t="s">
        <v>943</v>
      </c>
      <c r="C192" s="34" t="s">
        <v>944</v>
      </c>
      <c r="D192" s="45">
        <v>5830</v>
      </c>
    </row>
    <row r="193" spans="2:4" ht="15.75">
      <c r="B193" s="35" t="s">
        <v>945</v>
      </c>
      <c r="C193" s="34" t="s">
        <v>946</v>
      </c>
      <c r="D193" s="45">
        <v>6300</v>
      </c>
    </row>
    <row r="194" spans="2:4" ht="15.75">
      <c r="B194" s="35" t="s">
        <v>947</v>
      </c>
      <c r="C194" s="34" t="s">
        <v>948</v>
      </c>
      <c r="D194" s="45">
        <v>6675</v>
      </c>
    </row>
    <row r="195" spans="2:4" ht="15.75">
      <c r="B195" s="35" t="s">
        <v>949</v>
      </c>
      <c r="C195" s="34" t="s">
        <v>950</v>
      </c>
      <c r="D195" s="45">
        <v>5830</v>
      </c>
    </row>
    <row r="196" spans="2:4" ht="15.75">
      <c r="B196" s="35" t="s">
        <v>951</v>
      </c>
      <c r="C196" s="34" t="s">
        <v>952</v>
      </c>
      <c r="D196" s="45">
        <v>5830</v>
      </c>
    </row>
    <row r="197" spans="2:4" ht="15.75">
      <c r="B197" s="35" t="s">
        <v>953</v>
      </c>
      <c r="C197" s="34" t="s">
        <v>954</v>
      </c>
      <c r="D197" s="45">
        <v>6300</v>
      </c>
    </row>
    <row r="198" spans="2:4" ht="15.75">
      <c r="B198" s="35" t="s">
        <v>955</v>
      </c>
      <c r="C198" s="34" t="s">
        <v>956</v>
      </c>
      <c r="D198" s="45">
        <v>6675</v>
      </c>
    </row>
    <row r="199" spans="2:4" ht="15.75">
      <c r="B199" s="35" t="s">
        <v>957</v>
      </c>
      <c r="C199" s="34" t="s">
        <v>958</v>
      </c>
      <c r="D199" s="45">
        <v>5830</v>
      </c>
    </row>
    <row r="200" spans="2:4" ht="15.75">
      <c r="B200" s="35" t="s">
        <v>959</v>
      </c>
      <c r="C200" s="34" t="s">
        <v>960</v>
      </c>
      <c r="D200" s="45">
        <v>6200</v>
      </c>
    </row>
    <row r="201" spans="2:4" ht="15.75">
      <c r="B201" s="35" t="s">
        <v>961</v>
      </c>
      <c r="C201" s="34" t="s">
        <v>962</v>
      </c>
      <c r="D201" s="45">
        <v>6675</v>
      </c>
    </row>
    <row r="202" spans="2:4" ht="15.75">
      <c r="B202" s="35" t="s">
        <v>963</v>
      </c>
      <c r="C202" s="34" t="s">
        <v>964</v>
      </c>
      <c r="D202" s="45">
        <v>7000</v>
      </c>
    </row>
    <row r="203" spans="2:4" ht="15.75">
      <c r="B203" s="35" t="s">
        <v>965</v>
      </c>
      <c r="C203" s="34" t="s">
        <v>966</v>
      </c>
      <c r="D203" s="45">
        <v>6200</v>
      </c>
    </row>
    <row r="204" spans="2:4" ht="15.75">
      <c r="B204" s="35" t="s">
        <v>967</v>
      </c>
      <c r="C204" s="34" t="s">
        <v>968</v>
      </c>
      <c r="D204" s="45">
        <v>6200</v>
      </c>
    </row>
    <row r="205" spans="2:4" ht="15.75">
      <c r="B205" s="35" t="s">
        <v>969</v>
      </c>
      <c r="C205" s="34" t="s">
        <v>970</v>
      </c>
      <c r="D205" s="45">
        <v>6675</v>
      </c>
    </row>
    <row r="206" spans="2:4" ht="15.75">
      <c r="B206" s="35" t="s">
        <v>971</v>
      </c>
      <c r="C206" s="34" t="s">
        <v>972</v>
      </c>
      <c r="D206" s="45">
        <v>7000</v>
      </c>
    </row>
    <row r="207" spans="2:4" ht="15.75">
      <c r="B207" s="35" t="s">
        <v>973</v>
      </c>
      <c r="C207" s="34" t="s">
        <v>974</v>
      </c>
      <c r="D207" s="45">
        <v>6200</v>
      </c>
    </row>
    <row r="208" spans="2:4" ht="15.75">
      <c r="B208" s="35" t="s">
        <v>975</v>
      </c>
      <c r="C208" s="34" t="s">
        <v>976</v>
      </c>
      <c r="D208" s="45">
        <v>6200</v>
      </c>
    </row>
    <row r="209" spans="2:4" ht="15.75">
      <c r="B209" s="35" t="s">
        <v>977</v>
      </c>
      <c r="C209" s="34" t="s">
        <v>978</v>
      </c>
      <c r="D209" s="45">
        <v>6675</v>
      </c>
    </row>
    <row r="210" spans="2:4" ht="15.75">
      <c r="B210" s="35" t="s">
        <v>979</v>
      </c>
      <c r="C210" s="34" t="s">
        <v>980</v>
      </c>
      <c r="D210" s="45">
        <v>7000</v>
      </c>
    </row>
    <row r="211" spans="2:4" ht="15.75">
      <c r="B211" s="35" t="s">
        <v>981</v>
      </c>
      <c r="C211" s="34" t="s">
        <v>982</v>
      </c>
      <c r="D211" s="45">
        <v>6200</v>
      </c>
    </row>
    <row r="212" spans="2:4" ht="15.75">
      <c r="B212" s="35" t="s">
        <v>983</v>
      </c>
      <c r="C212" s="34" t="s">
        <v>984</v>
      </c>
      <c r="D212" s="45">
        <v>3900</v>
      </c>
    </row>
    <row r="213" spans="2:4" ht="15.75">
      <c r="B213" s="35" t="s">
        <v>985</v>
      </c>
      <c r="C213" s="34" t="s">
        <v>986</v>
      </c>
      <c r="D213" s="45">
        <v>4300</v>
      </c>
    </row>
    <row r="214" spans="2:4" ht="15.75">
      <c r="B214" s="35" t="s">
        <v>987</v>
      </c>
      <c r="C214" s="34" t="s">
        <v>988</v>
      </c>
      <c r="D214" s="45">
        <v>4600</v>
      </c>
    </row>
    <row r="215" spans="2:4" ht="15.75">
      <c r="B215" s="35" t="s">
        <v>989</v>
      </c>
      <c r="C215" s="34" t="s">
        <v>990</v>
      </c>
      <c r="D215" s="45">
        <v>5500</v>
      </c>
    </row>
    <row r="216" spans="2:4" ht="15.75">
      <c r="B216" s="35" t="s">
        <v>991</v>
      </c>
      <c r="C216" s="34" t="s">
        <v>992</v>
      </c>
      <c r="D216" s="45">
        <v>3900</v>
      </c>
    </row>
    <row r="217" spans="2:4" ht="15.75">
      <c r="B217" s="35" t="s">
        <v>993</v>
      </c>
      <c r="C217" s="34" t="s">
        <v>994</v>
      </c>
      <c r="D217" s="45">
        <v>4600</v>
      </c>
    </row>
    <row r="218" spans="2:4" ht="15.75">
      <c r="B218" s="35" t="s">
        <v>995</v>
      </c>
      <c r="C218" s="34" t="s">
        <v>996</v>
      </c>
      <c r="D218" s="45">
        <v>3900</v>
      </c>
    </row>
    <row r="219" spans="2:4" ht="15.75">
      <c r="B219" s="35" t="s">
        <v>997</v>
      </c>
      <c r="C219" s="34" t="s">
        <v>998</v>
      </c>
      <c r="D219" s="45">
        <v>4300</v>
      </c>
    </row>
    <row r="220" spans="2:4" ht="15.75">
      <c r="B220" s="35" t="s">
        <v>999</v>
      </c>
      <c r="C220" s="34" t="s">
        <v>1000</v>
      </c>
      <c r="D220" s="45">
        <v>4600</v>
      </c>
    </row>
    <row r="221" spans="2:4" ht="15.75">
      <c r="B221" s="35" t="s">
        <v>1001</v>
      </c>
      <c r="C221" s="34" t="s">
        <v>1002</v>
      </c>
      <c r="D221" s="45">
        <v>5500</v>
      </c>
    </row>
    <row r="222" spans="2:4" ht="15.75">
      <c r="B222" s="35" t="s">
        <v>1003</v>
      </c>
      <c r="C222" s="34" t="s">
        <v>1004</v>
      </c>
      <c r="D222" s="45">
        <v>3900</v>
      </c>
    </row>
    <row r="223" spans="2:4" ht="15.75">
      <c r="B223" s="35" t="s">
        <v>1005</v>
      </c>
      <c r="C223" s="34" t="s">
        <v>1006</v>
      </c>
      <c r="D223" s="45">
        <v>4600</v>
      </c>
    </row>
    <row r="224" spans="2:4" ht="15.75">
      <c r="B224" s="35" t="s">
        <v>1007</v>
      </c>
      <c r="C224" s="34" t="s">
        <v>960</v>
      </c>
      <c r="D224" s="45">
        <v>4300</v>
      </c>
    </row>
    <row r="225" spans="2:4" ht="15.75">
      <c r="B225" s="35" t="s">
        <v>1008</v>
      </c>
      <c r="C225" s="34" t="s">
        <v>962</v>
      </c>
      <c r="D225" s="45">
        <v>4600</v>
      </c>
    </row>
    <row r="226" spans="2:4" ht="15.75">
      <c r="B226" s="35" t="s">
        <v>1009</v>
      </c>
      <c r="C226" s="34" t="s">
        <v>964</v>
      </c>
      <c r="D226" s="45">
        <v>4900</v>
      </c>
    </row>
    <row r="227" spans="2:4" ht="15.75">
      <c r="B227" s="35" t="s">
        <v>1010</v>
      </c>
      <c r="C227" s="34" t="s">
        <v>1011</v>
      </c>
      <c r="D227" s="45">
        <v>5700</v>
      </c>
    </row>
    <row r="228" spans="2:4" ht="15.75">
      <c r="B228" s="35" t="s">
        <v>1012</v>
      </c>
      <c r="C228" s="34" t="s">
        <v>966</v>
      </c>
      <c r="D228" s="45">
        <v>4300</v>
      </c>
    </row>
    <row r="229" spans="2:4" ht="15.75">
      <c r="B229" s="35" t="s">
        <v>1013</v>
      </c>
      <c r="C229" s="34" t="s">
        <v>1014</v>
      </c>
      <c r="D229" s="45">
        <v>4900</v>
      </c>
    </row>
    <row r="230" spans="2:4" ht="15.75">
      <c r="B230" s="35" t="s">
        <v>1015</v>
      </c>
      <c r="C230" s="34" t="s">
        <v>1016</v>
      </c>
      <c r="D230" s="45">
        <v>4300</v>
      </c>
    </row>
    <row r="231" spans="2:4" ht="15.75">
      <c r="B231" s="35" t="s">
        <v>1017</v>
      </c>
      <c r="C231" s="34" t="s">
        <v>1018</v>
      </c>
      <c r="D231" s="45">
        <v>4600</v>
      </c>
    </row>
    <row r="232" spans="2:4" ht="15.75">
      <c r="B232" s="35" t="s">
        <v>1019</v>
      </c>
      <c r="C232" s="34" t="s">
        <v>1020</v>
      </c>
      <c r="D232" s="45">
        <v>4900</v>
      </c>
    </row>
    <row r="233" spans="2:4" ht="15.75">
      <c r="B233" s="35" t="s">
        <v>1021</v>
      </c>
      <c r="C233" s="34" t="s">
        <v>1022</v>
      </c>
      <c r="D233" s="45">
        <v>5700</v>
      </c>
    </row>
    <row r="234" spans="2:4" ht="15.75">
      <c r="B234" s="35" t="s">
        <v>1023</v>
      </c>
      <c r="C234" s="34" t="s">
        <v>1024</v>
      </c>
      <c r="D234" s="45">
        <v>4300</v>
      </c>
    </row>
    <row r="235" spans="2:4" ht="15.75">
      <c r="B235" s="35" t="s">
        <v>1025</v>
      </c>
      <c r="C235" s="34" t="s">
        <v>1026</v>
      </c>
      <c r="D235" s="45">
        <v>4900</v>
      </c>
    </row>
    <row r="236" spans="2:4" ht="15.75">
      <c r="B236" s="35" t="s">
        <v>1027</v>
      </c>
      <c r="C236" s="34" t="s">
        <v>1028</v>
      </c>
      <c r="D236" s="45">
        <v>4300</v>
      </c>
    </row>
    <row r="237" spans="2:4" ht="15.75">
      <c r="B237" s="35" t="s">
        <v>1029</v>
      </c>
      <c r="C237" s="34" t="s">
        <v>1030</v>
      </c>
      <c r="D237" s="45">
        <v>4600</v>
      </c>
    </row>
    <row r="238" spans="2:4" ht="15.75">
      <c r="B238" s="35" t="s">
        <v>1031</v>
      </c>
      <c r="C238" s="34" t="s">
        <v>1032</v>
      </c>
      <c r="D238" s="45">
        <v>4900</v>
      </c>
    </row>
    <row r="239" spans="2:4" ht="15.75">
      <c r="B239" s="35" t="s">
        <v>1033</v>
      </c>
      <c r="C239" s="34" t="s">
        <v>1034</v>
      </c>
      <c r="D239" s="45">
        <v>5700</v>
      </c>
    </row>
    <row r="240" spans="2:4" ht="15.75">
      <c r="B240" s="35" t="s">
        <v>1035</v>
      </c>
      <c r="C240" s="34" t="s">
        <v>1036</v>
      </c>
      <c r="D240" s="45">
        <v>4300</v>
      </c>
    </row>
    <row r="241" spans="2:4" ht="15.75">
      <c r="B241" s="35" t="s">
        <v>1037</v>
      </c>
      <c r="C241" s="34" t="s">
        <v>1038</v>
      </c>
      <c r="D241" s="45">
        <v>4900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BD33A7-C4F3-446A-B92E-3280A749E72F}">
  <dimension ref="A1:O464"/>
  <sheetViews>
    <sheetView workbookViewId="0"/>
  </sheetViews>
  <sheetFormatPr baseColWidth="10" defaultColWidth="9.140625" defaultRowHeight="15"/>
  <sheetData>
    <row r="1" spans="1:15">
      <c r="A1" s="46" t="s">
        <v>2241</v>
      </c>
      <c r="B1" s="46" t="s">
        <v>0</v>
      </c>
      <c r="C1" s="46" t="s">
        <v>0</v>
      </c>
      <c r="D1" s="46" t="s">
        <v>0</v>
      </c>
      <c r="E1" s="46" t="s">
        <v>0</v>
      </c>
      <c r="F1" s="46" t="s">
        <v>0</v>
      </c>
      <c r="G1" s="46" t="s">
        <v>0</v>
      </c>
      <c r="H1" s="46" t="s">
        <v>0</v>
      </c>
      <c r="I1" s="46" t="s">
        <v>0</v>
      </c>
      <c r="J1" s="46" t="s">
        <v>0</v>
      </c>
      <c r="K1" s="46" t="s">
        <v>0</v>
      </c>
      <c r="L1" s="46" t="s">
        <v>0</v>
      </c>
      <c r="M1" s="46" t="s">
        <v>0</v>
      </c>
      <c r="N1" s="46" t="s">
        <v>0</v>
      </c>
      <c r="O1" s="46" t="s">
        <v>0</v>
      </c>
    </row>
    <row r="3" spans="1:15">
      <c r="B3" s="46" t="s">
        <v>1</v>
      </c>
    </row>
    <row r="6" spans="1:15">
      <c r="I6" s="46" t="s">
        <v>2</v>
      </c>
    </row>
    <row r="7" spans="1:15">
      <c r="B7" s="46" t="s">
        <v>3</v>
      </c>
      <c r="C7" s="46" t="s">
        <v>4</v>
      </c>
      <c r="D7" s="46" t="s">
        <v>1040</v>
      </c>
      <c r="E7" s="46" t="s">
        <v>5</v>
      </c>
      <c r="G7" s="46" t="s">
        <v>1041</v>
      </c>
      <c r="H7" s="46" t="s">
        <v>6</v>
      </c>
      <c r="I7" s="46" t="s">
        <v>7</v>
      </c>
      <c r="J7" s="46" t="s">
        <v>8</v>
      </c>
      <c r="K7" s="46" t="s">
        <v>9</v>
      </c>
      <c r="L7" s="46" t="s">
        <v>10</v>
      </c>
      <c r="M7" s="46" t="s">
        <v>11</v>
      </c>
      <c r="N7" s="46" t="s">
        <v>12</v>
      </c>
      <c r="O7" s="46" t="s">
        <v>13</v>
      </c>
    </row>
    <row r="8" spans="1:15">
      <c r="B8" s="46" t="s">
        <v>14</v>
      </c>
      <c r="C8" s="46" t="s">
        <v>4637</v>
      </c>
      <c r="D8" s="46" t="s">
        <v>2382</v>
      </c>
      <c r="E8" s="46" t="s">
        <v>15</v>
      </c>
      <c r="F8" s="46" t="s">
        <v>4638</v>
      </c>
      <c r="G8" s="46" t="s">
        <v>4639</v>
      </c>
      <c r="H8" s="46" t="s">
        <v>1044</v>
      </c>
      <c r="I8" s="46" t="s">
        <v>1045</v>
      </c>
      <c r="J8" s="46" t="s">
        <v>1046</v>
      </c>
      <c r="K8" s="46" t="s">
        <v>1047</v>
      </c>
      <c r="L8" s="46" t="s">
        <v>1048</v>
      </c>
      <c r="M8" s="46" t="s">
        <v>1049</v>
      </c>
      <c r="N8" s="46" t="s">
        <v>1050</v>
      </c>
      <c r="O8" s="46" t="s">
        <v>1051</v>
      </c>
    </row>
    <row r="9" spans="1:15">
      <c r="B9" s="46" t="s">
        <v>14</v>
      </c>
      <c r="C9" s="46" t="s">
        <v>4640</v>
      </c>
      <c r="D9" s="46" t="s">
        <v>2392</v>
      </c>
      <c r="E9" s="46" t="s">
        <v>16</v>
      </c>
      <c r="F9" s="46" t="s">
        <v>4641</v>
      </c>
      <c r="G9" s="46" t="s">
        <v>4642</v>
      </c>
      <c r="H9" s="46" t="s">
        <v>1052</v>
      </c>
      <c r="I9" s="46" t="s">
        <v>1053</v>
      </c>
      <c r="J9" s="46" t="s">
        <v>1054</v>
      </c>
      <c r="K9" s="46" t="s">
        <v>1055</v>
      </c>
      <c r="L9" s="46" t="s">
        <v>1056</v>
      </c>
      <c r="M9" s="46" t="s">
        <v>1057</v>
      </c>
      <c r="N9" s="46" t="s">
        <v>1058</v>
      </c>
      <c r="O9" s="46" t="s">
        <v>1059</v>
      </c>
    </row>
    <row r="10" spans="1:15">
      <c r="B10" s="46" t="s">
        <v>14</v>
      </c>
      <c r="C10" s="46" t="s">
        <v>4643</v>
      </c>
      <c r="D10" s="46" t="s">
        <v>2402</v>
      </c>
      <c r="O10" s="46" t="s">
        <v>1060</v>
      </c>
    </row>
    <row r="11" spans="1:15">
      <c r="B11" s="46" t="s">
        <v>17</v>
      </c>
      <c r="C11" s="46" t="s">
        <v>4644</v>
      </c>
      <c r="D11" s="46" t="s">
        <v>2412</v>
      </c>
      <c r="E11" s="46" t="s">
        <v>18</v>
      </c>
      <c r="F11" s="46" t="s">
        <v>4645</v>
      </c>
      <c r="G11" s="46" t="s">
        <v>4646</v>
      </c>
      <c r="H11" s="46" t="s">
        <v>1061</v>
      </c>
      <c r="I11" s="46" t="s">
        <v>1062</v>
      </c>
      <c r="J11" s="46" t="s">
        <v>1063</v>
      </c>
      <c r="K11" s="46" t="s">
        <v>1064</v>
      </c>
      <c r="L11" s="46" t="s">
        <v>1065</v>
      </c>
      <c r="M11" s="46" t="s">
        <v>1066</v>
      </c>
      <c r="N11" s="46" t="s">
        <v>1067</v>
      </c>
      <c r="O11" s="46" t="s">
        <v>1068</v>
      </c>
    </row>
    <row r="12" spans="1:15">
      <c r="B12" s="46" t="s">
        <v>17</v>
      </c>
      <c r="C12" s="46" t="s">
        <v>4647</v>
      </c>
      <c r="D12" s="46" t="s">
        <v>2422</v>
      </c>
      <c r="E12" s="46" t="s">
        <v>19</v>
      </c>
      <c r="F12" s="46" t="s">
        <v>4648</v>
      </c>
      <c r="G12" s="46" t="s">
        <v>4649</v>
      </c>
      <c r="H12" s="46" t="s">
        <v>1069</v>
      </c>
      <c r="I12" s="46" t="s">
        <v>1070</v>
      </c>
      <c r="J12" s="46" t="s">
        <v>1071</v>
      </c>
      <c r="K12" s="46" t="s">
        <v>1072</v>
      </c>
      <c r="L12" s="46" t="s">
        <v>1073</v>
      </c>
      <c r="M12" s="46" t="s">
        <v>1074</v>
      </c>
      <c r="N12" s="46" t="s">
        <v>1075</v>
      </c>
      <c r="O12" s="46" t="s">
        <v>1076</v>
      </c>
    </row>
    <row r="13" spans="1:15">
      <c r="B13" s="46" t="s">
        <v>17</v>
      </c>
      <c r="C13" s="46" t="s">
        <v>4650</v>
      </c>
      <c r="D13" s="46" t="s">
        <v>2432</v>
      </c>
      <c r="O13" s="46" t="s">
        <v>1077</v>
      </c>
    </row>
    <row r="14" spans="1:15">
      <c r="B14" s="46" t="s">
        <v>20</v>
      </c>
      <c r="C14" s="46" t="s">
        <v>4651</v>
      </c>
      <c r="D14" s="46" t="s">
        <v>2442</v>
      </c>
      <c r="E14" s="46" t="s">
        <v>21</v>
      </c>
      <c r="F14" s="46" t="s">
        <v>4652</v>
      </c>
      <c r="G14" s="46" t="s">
        <v>4653</v>
      </c>
      <c r="H14" s="46" t="s">
        <v>1078</v>
      </c>
      <c r="I14" s="46" t="s">
        <v>1079</v>
      </c>
      <c r="J14" s="46" t="s">
        <v>1080</v>
      </c>
      <c r="K14" s="46" t="s">
        <v>1081</v>
      </c>
      <c r="L14" s="46" t="s">
        <v>1082</v>
      </c>
      <c r="M14" s="46" t="s">
        <v>1083</v>
      </c>
      <c r="N14" s="46" t="s">
        <v>1084</v>
      </c>
      <c r="O14" s="46" t="s">
        <v>1085</v>
      </c>
    </row>
    <row r="15" spans="1:15">
      <c r="B15" s="46" t="s">
        <v>20</v>
      </c>
      <c r="C15" s="46" t="s">
        <v>4654</v>
      </c>
      <c r="D15" s="46" t="s">
        <v>2452</v>
      </c>
      <c r="E15" s="46" t="s">
        <v>22</v>
      </c>
      <c r="F15" s="46" t="s">
        <v>4655</v>
      </c>
      <c r="G15" s="46" t="s">
        <v>4656</v>
      </c>
      <c r="H15" s="46" t="s">
        <v>1086</v>
      </c>
      <c r="I15" s="46" t="s">
        <v>1087</v>
      </c>
      <c r="J15" s="46" t="s">
        <v>1088</v>
      </c>
      <c r="K15" s="46" t="s">
        <v>1089</v>
      </c>
      <c r="L15" s="46" t="s">
        <v>1090</v>
      </c>
      <c r="M15" s="46" t="s">
        <v>1091</v>
      </c>
      <c r="N15" s="46" t="s">
        <v>1092</v>
      </c>
      <c r="O15" s="46" t="s">
        <v>1093</v>
      </c>
    </row>
    <row r="16" spans="1:15">
      <c r="B16" s="46" t="s">
        <v>20</v>
      </c>
      <c r="C16" s="46" t="s">
        <v>4657</v>
      </c>
      <c r="D16" s="46" t="s">
        <v>2462</v>
      </c>
      <c r="O16" s="46" t="s">
        <v>1094</v>
      </c>
    </row>
    <row r="17" spans="2:15">
      <c r="B17" s="46" t="s">
        <v>23</v>
      </c>
      <c r="C17" s="46" t="s">
        <v>4658</v>
      </c>
      <c r="D17" s="46" t="s">
        <v>2472</v>
      </c>
      <c r="H17" s="46" t="s">
        <v>1095</v>
      </c>
      <c r="I17" s="46" t="s">
        <v>1096</v>
      </c>
      <c r="J17" s="46" t="s">
        <v>1097</v>
      </c>
      <c r="K17" s="46" t="s">
        <v>1098</v>
      </c>
      <c r="L17" s="46" t="s">
        <v>1099</v>
      </c>
      <c r="M17" s="46" t="s">
        <v>1100</v>
      </c>
      <c r="N17" s="46" t="s">
        <v>1101</v>
      </c>
      <c r="O17" s="46" t="s">
        <v>1102</v>
      </c>
    </row>
    <row r="18" spans="2:15">
      <c r="B18" s="46" t="s">
        <v>24</v>
      </c>
      <c r="C18" s="46" t="s">
        <v>4659</v>
      </c>
      <c r="D18" s="46" t="s">
        <v>2482</v>
      </c>
      <c r="H18" s="46" t="s">
        <v>1095</v>
      </c>
      <c r="I18" s="46" t="s">
        <v>1103</v>
      </c>
      <c r="J18" s="46" t="s">
        <v>1104</v>
      </c>
      <c r="K18" s="46" t="s">
        <v>1105</v>
      </c>
      <c r="L18" s="46" t="s">
        <v>1106</v>
      </c>
      <c r="M18" s="46" t="s">
        <v>1107</v>
      </c>
      <c r="N18" s="46" t="s">
        <v>1108</v>
      </c>
      <c r="O18" s="46" t="s">
        <v>1109</v>
      </c>
    </row>
    <row r="19" spans="2:15">
      <c r="B19" s="46" t="s">
        <v>25</v>
      </c>
      <c r="C19" s="46" t="s">
        <v>4660</v>
      </c>
      <c r="D19" s="46" t="s">
        <v>2492</v>
      </c>
      <c r="E19" s="46" t="s">
        <v>26</v>
      </c>
      <c r="F19" s="46" t="s">
        <v>4661</v>
      </c>
      <c r="G19" s="46" t="s">
        <v>4662</v>
      </c>
      <c r="H19" s="46" t="s">
        <v>1110</v>
      </c>
      <c r="I19" s="46" t="s">
        <v>1111</v>
      </c>
      <c r="J19" s="46" t="s">
        <v>1112</v>
      </c>
      <c r="K19" s="46" t="s">
        <v>1113</v>
      </c>
      <c r="L19" s="46" t="s">
        <v>1114</v>
      </c>
      <c r="M19" s="46" t="s">
        <v>1115</v>
      </c>
      <c r="N19" s="46" t="s">
        <v>1116</v>
      </c>
      <c r="O19" s="46" t="s">
        <v>1117</v>
      </c>
    </row>
    <row r="20" spans="2:15">
      <c r="B20" s="46" t="s">
        <v>25</v>
      </c>
      <c r="C20" s="46" t="s">
        <v>4663</v>
      </c>
      <c r="D20" s="46" t="s">
        <v>2502</v>
      </c>
      <c r="E20" s="46" t="s">
        <v>27</v>
      </c>
      <c r="F20" s="46" t="s">
        <v>4664</v>
      </c>
      <c r="G20" s="46" t="s">
        <v>4665</v>
      </c>
      <c r="H20" s="46" t="s">
        <v>1118</v>
      </c>
      <c r="I20" s="46" t="s">
        <v>1119</v>
      </c>
      <c r="J20" s="46" t="s">
        <v>1120</v>
      </c>
      <c r="K20" s="46" t="s">
        <v>1121</v>
      </c>
      <c r="L20" s="46" t="s">
        <v>1122</v>
      </c>
      <c r="M20" s="46" t="s">
        <v>1123</v>
      </c>
      <c r="N20" s="46" t="s">
        <v>1124</v>
      </c>
      <c r="O20" s="46" t="s">
        <v>1125</v>
      </c>
    </row>
    <row r="21" spans="2:15">
      <c r="B21" s="46" t="s">
        <v>25</v>
      </c>
      <c r="C21" s="46" t="s">
        <v>4666</v>
      </c>
      <c r="D21" s="46" t="s">
        <v>2512</v>
      </c>
      <c r="O21" s="46" t="s">
        <v>1126</v>
      </c>
    </row>
    <row r="22" spans="2:15">
      <c r="B22" s="46" t="s">
        <v>28</v>
      </c>
      <c r="C22" s="46" t="s">
        <v>4667</v>
      </c>
      <c r="D22" s="46" t="s">
        <v>2522</v>
      </c>
      <c r="E22" s="46" t="s">
        <v>29</v>
      </c>
      <c r="F22" s="46" t="s">
        <v>4668</v>
      </c>
      <c r="G22" s="46" t="s">
        <v>4669</v>
      </c>
      <c r="H22" s="46" t="s">
        <v>1127</v>
      </c>
      <c r="I22" s="46" t="s">
        <v>1128</v>
      </c>
      <c r="J22" s="46" t="s">
        <v>1129</v>
      </c>
      <c r="K22" s="46" t="s">
        <v>1130</v>
      </c>
      <c r="L22" s="46" t="s">
        <v>1131</v>
      </c>
      <c r="M22" s="46" t="s">
        <v>1132</v>
      </c>
      <c r="N22" s="46" t="s">
        <v>1133</v>
      </c>
      <c r="O22" s="46" t="s">
        <v>1134</v>
      </c>
    </row>
    <row r="23" spans="2:15">
      <c r="B23" s="46" t="s">
        <v>28</v>
      </c>
      <c r="C23" s="46" t="s">
        <v>4670</v>
      </c>
      <c r="D23" s="46" t="s">
        <v>2532</v>
      </c>
      <c r="E23" s="46" t="s">
        <v>27</v>
      </c>
      <c r="F23" s="46" t="s">
        <v>4671</v>
      </c>
      <c r="G23" s="46" t="s">
        <v>4672</v>
      </c>
      <c r="H23" s="46" t="s">
        <v>1135</v>
      </c>
      <c r="I23" s="46" t="s">
        <v>1136</v>
      </c>
      <c r="J23" s="46" t="s">
        <v>1137</v>
      </c>
      <c r="K23" s="46" t="s">
        <v>1138</v>
      </c>
      <c r="L23" s="46" t="s">
        <v>1139</v>
      </c>
      <c r="M23" s="46" t="s">
        <v>1140</v>
      </c>
      <c r="N23" s="46" t="s">
        <v>1141</v>
      </c>
      <c r="O23" s="46" t="s">
        <v>1142</v>
      </c>
    </row>
    <row r="24" spans="2:15">
      <c r="B24" s="46" t="s">
        <v>28</v>
      </c>
      <c r="C24" s="46" t="s">
        <v>4673</v>
      </c>
      <c r="D24" s="46" t="s">
        <v>2541</v>
      </c>
      <c r="O24" s="46" t="s">
        <v>1143</v>
      </c>
    </row>
    <row r="25" spans="2:15">
      <c r="B25" s="46" t="s">
        <v>30</v>
      </c>
      <c r="C25" s="46" t="s">
        <v>4674</v>
      </c>
      <c r="D25" s="46" t="s">
        <v>2550</v>
      </c>
      <c r="E25" s="46" t="s">
        <v>31</v>
      </c>
      <c r="F25" s="46" t="s">
        <v>4675</v>
      </c>
      <c r="G25" s="46" t="s">
        <v>4676</v>
      </c>
      <c r="H25" s="46" t="s">
        <v>1144</v>
      </c>
      <c r="I25" s="46" t="s">
        <v>1145</v>
      </c>
      <c r="J25" s="46" t="s">
        <v>1146</v>
      </c>
      <c r="K25" s="46" t="s">
        <v>1147</v>
      </c>
      <c r="L25" s="46" t="s">
        <v>1148</v>
      </c>
      <c r="M25" s="46" t="s">
        <v>1149</v>
      </c>
      <c r="N25" s="46" t="s">
        <v>1150</v>
      </c>
      <c r="O25" s="46" t="s">
        <v>1151</v>
      </c>
    </row>
    <row r="26" spans="2:15">
      <c r="B26" s="46" t="s">
        <v>30</v>
      </c>
      <c r="C26" s="46" t="s">
        <v>4677</v>
      </c>
      <c r="D26" s="46" t="s">
        <v>2560</v>
      </c>
      <c r="E26" s="46" t="s">
        <v>27</v>
      </c>
      <c r="F26" s="46" t="s">
        <v>4678</v>
      </c>
      <c r="G26" s="46" t="s">
        <v>4679</v>
      </c>
      <c r="H26" s="46" t="s">
        <v>1152</v>
      </c>
      <c r="I26" s="46" t="s">
        <v>1153</v>
      </c>
      <c r="J26" s="46" t="s">
        <v>1154</v>
      </c>
      <c r="K26" s="46" t="s">
        <v>1155</v>
      </c>
      <c r="L26" s="46" t="s">
        <v>1156</v>
      </c>
      <c r="M26" s="46" t="s">
        <v>1157</v>
      </c>
      <c r="N26" s="46" t="s">
        <v>1158</v>
      </c>
      <c r="O26" s="46" t="s">
        <v>1159</v>
      </c>
    </row>
    <row r="27" spans="2:15">
      <c r="B27" s="46" t="s">
        <v>30</v>
      </c>
      <c r="C27" s="46" t="s">
        <v>4680</v>
      </c>
      <c r="D27" s="46" t="s">
        <v>2570</v>
      </c>
      <c r="O27" s="46" t="s">
        <v>1160</v>
      </c>
    </row>
    <row r="28" spans="2:15">
      <c r="B28" s="46" t="s">
        <v>32</v>
      </c>
      <c r="C28" s="46" t="s">
        <v>4681</v>
      </c>
      <c r="D28" s="46" t="s">
        <v>2580</v>
      </c>
      <c r="E28" s="46" t="s">
        <v>33</v>
      </c>
      <c r="F28" s="46" t="s">
        <v>4682</v>
      </c>
      <c r="G28" s="46" t="s">
        <v>4683</v>
      </c>
      <c r="H28" s="46" t="s">
        <v>1161</v>
      </c>
      <c r="I28" s="46" t="s">
        <v>1162</v>
      </c>
      <c r="J28" s="46" t="s">
        <v>1163</v>
      </c>
      <c r="K28" s="46" t="s">
        <v>1164</v>
      </c>
      <c r="L28" s="46" t="s">
        <v>1165</v>
      </c>
      <c r="M28" s="46" t="s">
        <v>1166</v>
      </c>
      <c r="N28" s="46" t="s">
        <v>1167</v>
      </c>
      <c r="O28" s="46" t="s">
        <v>1168</v>
      </c>
    </row>
    <row r="29" spans="2:15">
      <c r="B29" s="46" t="s">
        <v>32</v>
      </c>
      <c r="C29" s="46" t="s">
        <v>4684</v>
      </c>
      <c r="D29" s="46" t="s">
        <v>2590</v>
      </c>
      <c r="E29" s="46" t="s">
        <v>34</v>
      </c>
      <c r="F29" s="46" t="s">
        <v>4685</v>
      </c>
      <c r="G29" s="46" t="s">
        <v>4686</v>
      </c>
      <c r="H29" s="46" t="s">
        <v>1169</v>
      </c>
      <c r="I29" s="46" t="s">
        <v>1170</v>
      </c>
      <c r="J29" s="46" t="s">
        <v>1171</v>
      </c>
      <c r="K29" s="46" t="s">
        <v>1172</v>
      </c>
      <c r="L29" s="46" t="s">
        <v>1173</v>
      </c>
      <c r="M29" s="46" t="s">
        <v>1174</v>
      </c>
      <c r="N29" s="46" t="s">
        <v>1175</v>
      </c>
      <c r="O29" s="46" t="s">
        <v>1176</v>
      </c>
    </row>
    <row r="30" spans="2:15">
      <c r="B30" s="46" t="s">
        <v>32</v>
      </c>
      <c r="C30" s="46" t="s">
        <v>4687</v>
      </c>
      <c r="D30" s="46" t="s">
        <v>2600</v>
      </c>
      <c r="O30" s="46" t="s">
        <v>1177</v>
      </c>
    </row>
    <row r="31" spans="2:15">
      <c r="B31" s="46" t="s">
        <v>35</v>
      </c>
      <c r="C31" s="46" t="s">
        <v>4688</v>
      </c>
      <c r="D31" s="46" t="s">
        <v>2610</v>
      </c>
      <c r="E31" s="46" t="s">
        <v>36</v>
      </c>
      <c r="F31" s="46" t="s">
        <v>4689</v>
      </c>
      <c r="G31" s="46" t="s">
        <v>4690</v>
      </c>
      <c r="H31" s="46" t="s">
        <v>1178</v>
      </c>
      <c r="I31" s="46" t="s">
        <v>1179</v>
      </c>
      <c r="J31" s="46" t="s">
        <v>1180</v>
      </c>
      <c r="K31" s="46" t="s">
        <v>1181</v>
      </c>
      <c r="L31" s="46" t="s">
        <v>1182</v>
      </c>
      <c r="M31" s="46" t="s">
        <v>1183</v>
      </c>
      <c r="N31" s="46" t="s">
        <v>1184</v>
      </c>
      <c r="O31" s="46" t="s">
        <v>1185</v>
      </c>
    </row>
    <row r="32" spans="2:15">
      <c r="B32" s="46" t="s">
        <v>35</v>
      </c>
      <c r="C32" s="46" t="s">
        <v>4691</v>
      </c>
      <c r="D32" s="46" t="s">
        <v>2620</v>
      </c>
      <c r="E32" s="46" t="s">
        <v>27</v>
      </c>
      <c r="F32" s="46" t="s">
        <v>4692</v>
      </c>
      <c r="G32" s="46" t="s">
        <v>4693</v>
      </c>
      <c r="H32" s="46" t="s">
        <v>1186</v>
      </c>
      <c r="I32" s="46" t="s">
        <v>1187</v>
      </c>
      <c r="J32" s="46" t="s">
        <v>1188</v>
      </c>
      <c r="K32" s="46" t="s">
        <v>1189</v>
      </c>
      <c r="L32" s="46" t="s">
        <v>1190</v>
      </c>
      <c r="M32" s="46" t="s">
        <v>1191</v>
      </c>
      <c r="N32" s="46" t="s">
        <v>1192</v>
      </c>
      <c r="O32" s="46" t="s">
        <v>1193</v>
      </c>
    </row>
    <row r="33" spans="2:15">
      <c r="B33" s="46" t="s">
        <v>35</v>
      </c>
      <c r="C33" s="46" t="s">
        <v>4694</v>
      </c>
      <c r="D33" s="46" t="s">
        <v>2630</v>
      </c>
      <c r="O33" s="46" t="s">
        <v>1194</v>
      </c>
    </row>
    <row r="34" spans="2:15">
      <c r="B34" s="46" t="s">
        <v>37</v>
      </c>
      <c r="C34" s="46" t="s">
        <v>4695</v>
      </c>
      <c r="D34" s="46" t="s">
        <v>2640</v>
      </c>
      <c r="E34" s="46" t="s">
        <v>38</v>
      </c>
      <c r="F34" s="46" t="s">
        <v>4696</v>
      </c>
      <c r="G34" s="46" t="s">
        <v>4697</v>
      </c>
      <c r="H34" s="46" t="s">
        <v>1195</v>
      </c>
      <c r="I34" s="46" t="s">
        <v>1196</v>
      </c>
      <c r="J34" s="46" t="s">
        <v>1197</v>
      </c>
      <c r="K34" s="46" t="s">
        <v>1198</v>
      </c>
      <c r="L34" s="46" t="s">
        <v>1199</v>
      </c>
      <c r="M34" s="46" t="s">
        <v>1200</v>
      </c>
      <c r="N34" s="46" t="s">
        <v>1201</v>
      </c>
      <c r="O34" s="46" t="s">
        <v>1202</v>
      </c>
    </row>
    <row r="35" spans="2:15">
      <c r="B35" s="46" t="s">
        <v>37</v>
      </c>
      <c r="C35" s="46" t="s">
        <v>4698</v>
      </c>
      <c r="D35" s="46" t="s">
        <v>2650</v>
      </c>
      <c r="E35" s="46" t="s">
        <v>27</v>
      </c>
      <c r="F35" s="46" t="s">
        <v>4699</v>
      </c>
      <c r="G35" s="46" t="s">
        <v>4700</v>
      </c>
      <c r="H35" s="46" t="s">
        <v>1203</v>
      </c>
      <c r="I35" s="46" t="s">
        <v>1204</v>
      </c>
      <c r="J35" s="46" t="s">
        <v>1205</v>
      </c>
      <c r="K35" s="46" t="s">
        <v>1206</v>
      </c>
      <c r="L35" s="46" t="s">
        <v>1207</v>
      </c>
      <c r="M35" s="46" t="s">
        <v>1208</v>
      </c>
      <c r="N35" s="46" t="s">
        <v>1209</v>
      </c>
      <c r="O35" s="46" t="s">
        <v>1210</v>
      </c>
    </row>
    <row r="36" spans="2:15">
      <c r="B36" s="46" t="s">
        <v>37</v>
      </c>
      <c r="C36" s="46" t="s">
        <v>4701</v>
      </c>
      <c r="D36" s="46" t="s">
        <v>2660</v>
      </c>
      <c r="O36" s="46" t="s">
        <v>1211</v>
      </c>
    </row>
    <row r="37" spans="2:15">
      <c r="B37" s="46" t="s">
        <v>39</v>
      </c>
      <c r="C37" s="46" t="s">
        <v>4702</v>
      </c>
      <c r="D37" s="46" t="s">
        <v>2670</v>
      </c>
      <c r="E37" s="46" t="s">
        <v>40</v>
      </c>
      <c r="F37" s="46" t="s">
        <v>4703</v>
      </c>
      <c r="G37" s="46" t="s">
        <v>4704</v>
      </c>
      <c r="H37" s="46" t="s">
        <v>1212</v>
      </c>
      <c r="I37" s="46" t="s">
        <v>1213</v>
      </c>
      <c r="J37" s="46" t="s">
        <v>1214</v>
      </c>
      <c r="K37" s="46" t="s">
        <v>1215</v>
      </c>
      <c r="L37" s="46" t="s">
        <v>1216</v>
      </c>
      <c r="M37" s="46" t="s">
        <v>1217</v>
      </c>
      <c r="N37" s="46" t="s">
        <v>1218</v>
      </c>
      <c r="O37" s="46" t="s">
        <v>1219</v>
      </c>
    </row>
    <row r="38" spans="2:15">
      <c r="B38" s="46" t="s">
        <v>39</v>
      </c>
      <c r="C38" s="46" t="s">
        <v>4705</v>
      </c>
      <c r="D38" s="46" t="s">
        <v>2680</v>
      </c>
      <c r="E38" s="46" t="s">
        <v>27</v>
      </c>
      <c r="F38" s="46" t="s">
        <v>4706</v>
      </c>
      <c r="G38" s="46" t="s">
        <v>4707</v>
      </c>
      <c r="H38" s="46" t="s">
        <v>1220</v>
      </c>
      <c r="I38" s="46" t="s">
        <v>1221</v>
      </c>
      <c r="J38" s="46" t="s">
        <v>1222</v>
      </c>
      <c r="K38" s="46" t="s">
        <v>1223</v>
      </c>
      <c r="L38" s="46" t="s">
        <v>1224</v>
      </c>
      <c r="M38" s="46" t="s">
        <v>1225</v>
      </c>
      <c r="N38" s="46" t="s">
        <v>1226</v>
      </c>
      <c r="O38" s="46" t="s">
        <v>1227</v>
      </c>
    </row>
    <row r="39" spans="2:15">
      <c r="B39" s="46" t="s">
        <v>39</v>
      </c>
      <c r="C39" s="46" t="s">
        <v>4708</v>
      </c>
      <c r="D39" s="46" t="s">
        <v>2690</v>
      </c>
      <c r="O39" s="46" t="s">
        <v>1228</v>
      </c>
    </row>
    <row r="40" spans="2:15">
      <c r="B40" s="46" t="s">
        <v>41</v>
      </c>
      <c r="C40" s="46" t="s">
        <v>4709</v>
      </c>
      <c r="D40" s="46" t="s">
        <v>2700</v>
      </c>
      <c r="E40" s="46" t="s">
        <v>42</v>
      </c>
      <c r="F40" s="46" t="s">
        <v>4710</v>
      </c>
      <c r="G40" s="46" t="s">
        <v>4711</v>
      </c>
      <c r="H40" s="46" t="s">
        <v>1229</v>
      </c>
      <c r="I40" s="46" t="s">
        <v>1230</v>
      </c>
      <c r="J40" s="46" t="s">
        <v>1231</v>
      </c>
      <c r="K40" s="46" t="s">
        <v>1232</v>
      </c>
      <c r="L40" s="46" t="s">
        <v>1233</v>
      </c>
      <c r="M40" s="46" t="s">
        <v>1234</v>
      </c>
      <c r="N40" s="46" t="s">
        <v>1235</v>
      </c>
      <c r="O40" s="46" t="s">
        <v>1236</v>
      </c>
    </row>
    <row r="41" spans="2:15">
      <c r="B41" s="46" t="s">
        <v>41</v>
      </c>
      <c r="C41" s="46" t="s">
        <v>4712</v>
      </c>
      <c r="D41" s="46" t="s">
        <v>2710</v>
      </c>
      <c r="E41" s="46" t="s">
        <v>43</v>
      </c>
      <c r="F41" s="46" t="s">
        <v>4713</v>
      </c>
      <c r="G41" s="46" t="s">
        <v>4714</v>
      </c>
      <c r="H41" s="46" t="s">
        <v>1237</v>
      </c>
      <c r="I41" s="46" t="s">
        <v>1238</v>
      </c>
      <c r="J41" s="46" t="s">
        <v>1239</v>
      </c>
      <c r="K41" s="46" t="s">
        <v>1240</v>
      </c>
      <c r="L41" s="46" t="s">
        <v>1241</v>
      </c>
      <c r="M41" s="46" t="s">
        <v>1242</v>
      </c>
      <c r="N41" s="46" t="s">
        <v>1243</v>
      </c>
      <c r="O41" s="46" t="s">
        <v>1244</v>
      </c>
    </row>
    <row r="42" spans="2:15">
      <c r="B42" s="46" t="s">
        <v>41</v>
      </c>
      <c r="C42" s="46" t="s">
        <v>4715</v>
      </c>
      <c r="D42" s="46" t="s">
        <v>2720</v>
      </c>
      <c r="O42" s="46" t="s">
        <v>1245</v>
      </c>
    </row>
    <row r="43" spans="2:15">
      <c r="B43" s="46" t="s">
        <v>44</v>
      </c>
      <c r="C43" s="46" t="s">
        <v>4716</v>
      </c>
      <c r="D43" s="46" t="s">
        <v>2730</v>
      </c>
      <c r="E43" s="46" t="s">
        <v>45</v>
      </c>
      <c r="F43" s="46" t="s">
        <v>4717</v>
      </c>
      <c r="G43" s="46" t="s">
        <v>4718</v>
      </c>
      <c r="H43" s="46" t="s">
        <v>1246</v>
      </c>
      <c r="I43" s="46" t="s">
        <v>1247</v>
      </c>
      <c r="J43" s="46" t="s">
        <v>1248</v>
      </c>
      <c r="K43" s="46" t="s">
        <v>1249</v>
      </c>
      <c r="L43" s="46" t="s">
        <v>1250</v>
      </c>
      <c r="M43" s="46" t="s">
        <v>1251</v>
      </c>
      <c r="N43" s="46" t="s">
        <v>1252</v>
      </c>
      <c r="O43" s="46" t="s">
        <v>1253</v>
      </c>
    </row>
    <row r="44" spans="2:15">
      <c r="B44" s="46" t="s">
        <v>44</v>
      </c>
      <c r="C44" s="46" t="s">
        <v>4719</v>
      </c>
      <c r="D44" s="46" t="s">
        <v>2740</v>
      </c>
      <c r="E44" s="46" t="s">
        <v>34</v>
      </c>
      <c r="F44" s="46" t="s">
        <v>4720</v>
      </c>
      <c r="G44" s="46" t="s">
        <v>4721</v>
      </c>
      <c r="H44" s="46" t="s">
        <v>1254</v>
      </c>
      <c r="I44" s="46" t="s">
        <v>1255</v>
      </c>
      <c r="J44" s="46" t="s">
        <v>1256</v>
      </c>
      <c r="K44" s="46" t="s">
        <v>1257</v>
      </c>
      <c r="L44" s="46" t="s">
        <v>1258</v>
      </c>
      <c r="M44" s="46" t="s">
        <v>1259</v>
      </c>
      <c r="N44" s="46" t="s">
        <v>1260</v>
      </c>
      <c r="O44" s="46" t="s">
        <v>1261</v>
      </c>
    </row>
    <row r="45" spans="2:15">
      <c r="B45" s="46" t="s">
        <v>44</v>
      </c>
      <c r="C45" s="46" t="s">
        <v>4722</v>
      </c>
      <c r="D45" s="46" t="s">
        <v>2750</v>
      </c>
      <c r="O45" s="46" t="s">
        <v>1262</v>
      </c>
    </row>
    <row r="46" spans="2:15">
      <c r="B46" s="46" t="s">
        <v>46</v>
      </c>
      <c r="C46" s="46" t="s">
        <v>4723</v>
      </c>
      <c r="D46" s="46" t="s">
        <v>2760</v>
      </c>
      <c r="E46" s="46" t="s">
        <v>27</v>
      </c>
      <c r="F46" s="46" t="s">
        <v>4724</v>
      </c>
      <c r="G46" s="46" t="s">
        <v>4725</v>
      </c>
      <c r="H46" s="46" t="s">
        <v>1263</v>
      </c>
      <c r="I46" s="46" t="s">
        <v>1264</v>
      </c>
      <c r="J46" s="46" t="s">
        <v>1265</v>
      </c>
      <c r="K46" s="46" t="s">
        <v>1266</v>
      </c>
      <c r="L46" s="46" t="s">
        <v>1267</v>
      </c>
      <c r="M46" s="46" t="s">
        <v>1268</v>
      </c>
      <c r="N46" s="46" t="s">
        <v>1269</v>
      </c>
      <c r="O46" s="46" t="s">
        <v>1270</v>
      </c>
    </row>
    <row r="47" spans="2:15">
      <c r="B47" s="46" t="s">
        <v>46</v>
      </c>
      <c r="C47" s="46" t="s">
        <v>4726</v>
      </c>
      <c r="D47" s="46" t="s">
        <v>2770</v>
      </c>
      <c r="E47" s="46" t="s">
        <v>47</v>
      </c>
      <c r="F47" s="46" t="s">
        <v>4727</v>
      </c>
      <c r="G47" s="46" t="s">
        <v>4728</v>
      </c>
      <c r="H47" s="46" t="s">
        <v>1271</v>
      </c>
      <c r="I47" s="46" t="s">
        <v>1272</v>
      </c>
      <c r="J47" s="46" t="s">
        <v>1273</v>
      </c>
      <c r="K47" s="46" t="s">
        <v>1274</v>
      </c>
      <c r="L47" s="46" t="s">
        <v>1275</v>
      </c>
      <c r="M47" s="46" t="s">
        <v>1276</v>
      </c>
      <c r="N47" s="46" t="s">
        <v>1277</v>
      </c>
      <c r="O47" s="46" t="s">
        <v>1278</v>
      </c>
    </row>
    <row r="48" spans="2:15">
      <c r="B48" s="46" t="s">
        <v>46</v>
      </c>
      <c r="C48" s="46" t="s">
        <v>4729</v>
      </c>
      <c r="D48" s="46" t="s">
        <v>2780</v>
      </c>
      <c r="O48" s="46" t="s">
        <v>1279</v>
      </c>
    </row>
    <row r="49" spans="2:15">
      <c r="B49" s="46" t="s">
        <v>48</v>
      </c>
      <c r="C49" s="46" t="s">
        <v>4730</v>
      </c>
      <c r="D49" s="46" t="s">
        <v>2790</v>
      </c>
      <c r="E49" s="46" t="s">
        <v>49</v>
      </c>
      <c r="F49" s="46" t="s">
        <v>4731</v>
      </c>
      <c r="G49" s="46" t="s">
        <v>4732</v>
      </c>
      <c r="H49" s="46" t="s">
        <v>1280</v>
      </c>
      <c r="I49" s="46" t="s">
        <v>1281</v>
      </c>
      <c r="J49" s="46" t="s">
        <v>1282</v>
      </c>
      <c r="K49" s="46" t="s">
        <v>1283</v>
      </c>
      <c r="L49" s="46" t="s">
        <v>1284</v>
      </c>
      <c r="M49" s="46" t="s">
        <v>1285</v>
      </c>
      <c r="N49" s="46" t="s">
        <v>1286</v>
      </c>
      <c r="O49" s="46" t="s">
        <v>1287</v>
      </c>
    </row>
    <row r="50" spans="2:15">
      <c r="B50" s="46" t="s">
        <v>48</v>
      </c>
      <c r="C50" s="46" t="s">
        <v>4733</v>
      </c>
      <c r="D50" s="46" t="s">
        <v>2800</v>
      </c>
      <c r="E50" s="46" t="s">
        <v>27</v>
      </c>
      <c r="F50" s="46" t="s">
        <v>4734</v>
      </c>
      <c r="G50" s="46" t="s">
        <v>4735</v>
      </c>
      <c r="H50" s="46" t="s">
        <v>1288</v>
      </c>
      <c r="I50" s="46" t="s">
        <v>1289</v>
      </c>
      <c r="J50" s="46" t="s">
        <v>1290</v>
      </c>
      <c r="K50" s="46" t="s">
        <v>1291</v>
      </c>
      <c r="L50" s="46" t="s">
        <v>1292</v>
      </c>
      <c r="M50" s="46" t="s">
        <v>1293</v>
      </c>
      <c r="N50" s="46" t="s">
        <v>1294</v>
      </c>
      <c r="O50" s="46" t="s">
        <v>1295</v>
      </c>
    </row>
    <row r="51" spans="2:15">
      <c r="B51" s="46" t="s">
        <v>48</v>
      </c>
      <c r="C51" s="46" t="s">
        <v>4736</v>
      </c>
      <c r="D51" s="46" t="s">
        <v>2810</v>
      </c>
      <c r="O51" s="46" t="s">
        <v>1296</v>
      </c>
    </row>
    <row r="52" spans="2:15">
      <c r="B52" s="46" t="s">
        <v>50</v>
      </c>
      <c r="C52" s="46" t="s">
        <v>4737</v>
      </c>
      <c r="D52" s="46" t="s">
        <v>2820</v>
      </c>
      <c r="E52" s="46" t="s">
        <v>51</v>
      </c>
      <c r="F52" s="46" t="s">
        <v>4738</v>
      </c>
      <c r="G52" s="46" t="s">
        <v>4739</v>
      </c>
      <c r="H52" s="46" t="s">
        <v>1297</v>
      </c>
      <c r="I52" s="46" t="s">
        <v>1298</v>
      </c>
      <c r="J52" s="46" t="s">
        <v>1299</v>
      </c>
      <c r="K52" s="46" t="s">
        <v>1300</v>
      </c>
      <c r="L52" s="46" t="s">
        <v>1301</v>
      </c>
      <c r="M52" s="46" t="s">
        <v>1302</v>
      </c>
      <c r="N52" s="46" t="s">
        <v>1303</v>
      </c>
      <c r="O52" s="46" t="s">
        <v>1304</v>
      </c>
    </row>
    <row r="53" spans="2:15">
      <c r="B53" s="46" t="s">
        <v>50</v>
      </c>
      <c r="C53" s="46" t="s">
        <v>4740</v>
      </c>
      <c r="D53" s="46" t="s">
        <v>2830</v>
      </c>
      <c r="E53" s="46" t="s">
        <v>27</v>
      </c>
      <c r="F53" s="46" t="s">
        <v>4741</v>
      </c>
      <c r="G53" s="46" t="s">
        <v>4742</v>
      </c>
      <c r="H53" s="46" t="s">
        <v>1305</v>
      </c>
      <c r="I53" s="46" t="s">
        <v>1306</v>
      </c>
      <c r="J53" s="46" t="s">
        <v>1307</v>
      </c>
      <c r="K53" s="46" t="s">
        <v>1308</v>
      </c>
      <c r="L53" s="46" t="s">
        <v>1309</v>
      </c>
      <c r="M53" s="46" t="s">
        <v>1310</v>
      </c>
      <c r="N53" s="46" t="s">
        <v>1311</v>
      </c>
      <c r="O53" s="46" t="s">
        <v>1312</v>
      </c>
    </row>
    <row r="54" spans="2:15">
      <c r="B54" s="46" t="s">
        <v>50</v>
      </c>
      <c r="C54" s="46" t="s">
        <v>4743</v>
      </c>
      <c r="D54" s="46" t="s">
        <v>2840</v>
      </c>
      <c r="O54" s="46" t="s">
        <v>1313</v>
      </c>
    </row>
    <row r="55" spans="2:15">
      <c r="B55" s="46" t="s">
        <v>52</v>
      </c>
      <c r="C55" s="46" t="s">
        <v>4744</v>
      </c>
      <c r="D55" s="46" t="s">
        <v>2850</v>
      </c>
      <c r="E55" s="46" t="s">
        <v>53</v>
      </c>
      <c r="F55" s="46" t="s">
        <v>4745</v>
      </c>
      <c r="G55" s="46" t="s">
        <v>4746</v>
      </c>
      <c r="H55" s="46" t="s">
        <v>1314</v>
      </c>
      <c r="I55" s="46" t="s">
        <v>1315</v>
      </c>
      <c r="J55" s="46" t="s">
        <v>1316</v>
      </c>
      <c r="K55" s="46" t="s">
        <v>1317</v>
      </c>
      <c r="L55" s="46" t="s">
        <v>1318</v>
      </c>
      <c r="M55" s="46" t="s">
        <v>1319</v>
      </c>
      <c r="N55" s="46" t="s">
        <v>1320</v>
      </c>
      <c r="O55" s="46" t="s">
        <v>1321</v>
      </c>
    </row>
    <row r="56" spans="2:15">
      <c r="B56" s="46" t="s">
        <v>52</v>
      </c>
      <c r="C56" s="46" t="s">
        <v>4747</v>
      </c>
      <c r="D56" s="46" t="s">
        <v>2860</v>
      </c>
      <c r="E56" s="46" t="s">
        <v>34</v>
      </c>
      <c r="F56" s="46" t="s">
        <v>4748</v>
      </c>
      <c r="G56" s="46" t="s">
        <v>4749</v>
      </c>
      <c r="H56" s="46" t="s">
        <v>1322</v>
      </c>
      <c r="I56" s="46" t="s">
        <v>1323</v>
      </c>
      <c r="J56" s="46" t="s">
        <v>1324</v>
      </c>
      <c r="K56" s="46" t="s">
        <v>1325</v>
      </c>
      <c r="L56" s="46" t="s">
        <v>1326</v>
      </c>
      <c r="M56" s="46" t="s">
        <v>1327</v>
      </c>
      <c r="N56" s="46" t="s">
        <v>1328</v>
      </c>
      <c r="O56" s="46" t="s">
        <v>1329</v>
      </c>
    </row>
    <row r="57" spans="2:15">
      <c r="B57" s="46" t="s">
        <v>52</v>
      </c>
      <c r="C57" s="46" t="s">
        <v>4750</v>
      </c>
      <c r="D57" s="46" t="s">
        <v>2870</v>
      </c>
      <c r="O57" s="46" t="s">
        <v>1330</v>
      </c>
    </row>
    <row r="58" spans="2:15">
      <c r="B58" s="46" t="s">
        <v>54</v>
      </c>
      <c r="C58" s="46" t="s">
        <v>4751</v>
      </c>
      <c r="D58" s="46" t="s">
        <v>2880</v>
      </c>
      <c r="E58" s="46" t="s">
        <v>55</v>
      </c>
      <c r="F58" s="46" t="s">
        <v>4752</v>
      </c>
      <c r="G58" s="46" t="s">
        <v>4753</v>
      </c>
      <c r="H58" s="46" t="s">
        <v>1331</v>
      </c>
      <c r="I58" s="46" t="s">
        <v>1332</v>
      </c>
      <c r="J58" s="46" t="s">
        <v>1333</v>
      </c>
      <c r="K58" s="46" t="s">
        <v>1334</v>
      </c>
      <c r="L58" s="46" t="s">
        <v>1335</v>
      </c>
      <c r="M58" s="46" t="s">
        <v>1336</v>
      </c>
      <c r="N58" s="46" t="s">
        <v>1337</v>
      </c>
      <c r="O58" s="46" t="s">
        <v>1338</v>
      </c>
    </row>
    <row r="59" spans="2:15">
      <c r="B59" s="46" t="s">
        <v>54</v>
      </c>
      <c r="C59" s="46" t="s">
        <v>4754</v>
      </c>
      <c r="D59" s="46" t="s">
        <v>2890</v>
      </c>
      <c r="E59" s="46" t="s">
        <v>56</v>
      </c>
      <c r="F59" s="46" t="s">
        <v>4755</v>
      </c>
      <c r="G59" s="46" t="s">
        <v>4756</v>
      </c>
      <c r="H59" s="46" t="s">
        <v>1339</v>
      </c>
      <c r="I59" s="46" t="s">
        <v>1340</v>
      </c>
      <c r="J59" s="46" t="s">
        <v>1341</v>
      </c>
      <c r="K59" s="46" t="s">
        <v>1342</v>
      </c>
      <c r="L59" s="46" t="s">
        <v>1343</v>
      </c>
      <c r="M59" s="46" t="s">
        <v>1344</v>
      </c>
      <c r="N59" s="46" t="s">
        <v>1345</v>
      </c>
      <c r="O59" s="46" t="s">
        <v>1346</v>
      </c>
    </row>
    <row r="60" spans="2:15">
      <c r="B60" s="46" t="s">
        <v>54</v>
      </c>
      <c r="C60" s="46" t="s">
        <v>4757</v>
      </c>
      <c r="D60" s="46" t="s">
        <v>2900</v>
      </c>
      <c r="O60" s="46" t="s">
        <v>1347</v>
      </c>
    </row>
    <row r="61" spans="2:15">
      <c r="B61" s="46" t="s">
        <v>57</v>
      </c>
      <c r="C61" s="46" t="s">
        <v>4758</v>
      </c>
      <c r="D61" s="46" t="s">
        <v>2909</v>
      </c>
      <c r="E61" s="46" t="s">
        <v>58</v>
      </c>
      <c r="F61" s="46" t="s">
        <v>4759</v>
      </c>
      <c r="G61" s="46" t="s">
        <v>4760</v>
      </c>
      <c r="H61" s="46" t="s">
        <v>1348</v>
      </c>
      <c r="I61" s="46" t="s">
        <v>1349</v>
      </c>
      <c r="J61" s="46" t="s">
        <v>1350</v>
      </c>
      <c r="K61" s="46" t="s">
        <v>1351</v>
      </c>
      <c r="L61" s="46" t="s">
        <v>1352</v>
      </c>
      <c r="M61" s="46" t="s">
        <v>1353</v>
      </c>
      <c r="N61" s="46" t="s">
        <v>1354</v>
      </c>
      <c r="O61" s="46" t="s">
        <v>1355</v>
      </c>
    </row>
    <row r="62" spans="2:15">
      <c r="B62" s="46" t="s">
        <v>57</v>
      </c>
      <c r="C62" s="46" t="s">
        <v>4761</v>
      </c>
      <c r="D62" s="46" t="s">
        <v>2919</v>
      </c>
      <c r="E62" s="46" t="s">
        <v>56</v>
      </c>
      <c r="F62" s="46" t="s">
        <v>4762</v>
      </c>
      <c r="G62" s="46" t="s">
        <v>4763</v>
      </c>
      <c r="H62" s="46" t="s">
        <v>1356</v>
      </c>
      <c r="I62" s="46" t="s">
        <v>1357</v>
      </c>
      <c r="J62" s="46" t="s">
        <v>1358</v>
      </c>
      <c r="K62" s="46" t="s">
        <v>1359</v>
      </c>
      <c r="L62" s="46" t="s">
        <v>1360</v>
      </c>
      <c r="M62" s="46" t="s">
        <v>1361</v>
      </c>
      <c r="N62" s="46" t="s">
        <v>1362</v>
      </c>
      <c r="O62" s="46" t="s">
        <v>1363</v>
      </c>
    </row>
    <row r="63" spans="2:15">
      <c r="B63" s="46" t="s">
        <v>57</v>
      </c>
      <c r="C63" s="46" t="s">
        <v>4764</v>
      </c>
      <c r="D63" s="46" t="s">
        <v>2928</v>
      </c>
      <c r="O63" s="46" t="s">
        <v>1364</v>
      </c>
    </row>
    <row r="64" spans="2:15">
      <c r="B64" s="46" t="s">
        <v>59</v>
      </c>
      <c r="C64" s="46" t="s">
        <v>4765</v>
      </c>
      <c r="D64" s="46" t="s">
        <v>2938</v>
      </c>
      <c r="E64" s="46" t="s">
        <v>60</v>
      </c>
      <c r="F64" s="46" t="s">
        <v>4766</v>
      </c>
      <c r="G64" s="46" t="s">
        <v>4767</v>
      </c>
      <c r="H64" s="46" t="s">
        <v>1365</v>
      </c>
      <c r="I64" s="46" t="s">
        <v>1366</v>
      </c>
      <c r="J64" s="46" t="s">
        <v>1367</v>
      </c>
      <c r="K64" s="46" t="s">
        <v>1368</v>
      </c>
      <c r="L64" s="46" t="s">
        <v>1369</v>
      </c>
      <c r="M64" s="46" t="s">
        <v>1370</v>
      </c>
      <c r="N64" s="46" t="s">
        <v>1371</v>
      </c>
      <c r="O64" s="46" t="s">
        <v>1372</v>
      </c>
    </row>
    <row r="65" spans="2:15">
      <c r="B65" s="46" t="s">
        <v>59</v>
      </c>
      <c r="C65" s="46" t="s">
        <v>4768</v>
      </c>
      <c r="D65" s="46" t="s">
        <v>2948</v>
      </c>
      <c r="E65" s="46" t="s">
        <v>56</v>
      </c>
      <c r="F65" s="46" t="s">
        <v>4769</v>
      </c>
      <c r="G65" s="46" t="s">
        <v>4770</v>
      </c>
      <c r="H65" s="46" t="s">
        <v>1373</v>
      </c>
      <c r="I65" s="46" t="s">
        <v>1374</v>
      </c>
      <c r="J65" s="46" t="s">
        <v>1375</v>
      </c>
      <c r="K65" s="46" t="s">
        <v>1376</v>
      </c>
      <c r="L65" s="46" t="s">
        <v>1377</v>
      </c>
      <c r="M65" s="46" t="s">
        <v>1378</v>
      </c>
      <c r="N65" s="46" t="s">
        <v>1379</v>
      </c>
      <c r="O65" s="46" t="s">
        <v>1380</v>
      </c>
    </row>
    <row r="66" spans="2:15">
      <c r="B66" s="46" t="s">
        <v>59</v>
      </c>
      <c r="C66" s="46" t="s">
        <v>4771</v>
      </c>
      <c r="D66" s="46" t="s">
        <v>2958</v>
      </c>
      <c r="O66" s="46" t="s">
        <v>1381</v>
      </c>
    </row>
    <row r="67" spans="2:15">
      <c r="B67" s="46" t="s">
        <v>61</v>
      </c>
      <c r="C67" s="46" t="s">
        <v>4772</v>
      </c>
      <c r="D67" s="46" t="s">
        <v>2968</v>
      </c>
      <c r="E67" s="46" t="s">
        <v>62</v>
      </c>
      <c r="F67" s="46" t="s">
        <v>4773</v>
      </c>
      <c r="G67" s="46" t="s">
        <v>4774</v>
      </c>
      <c r="H67" s="46" t="s">
        <v>1382</v>
      </c>
      <c r="I67" s="46" t="s">
        <v>1383</v>
      </c>
      <c r="J67" s="46" t="s">
        <v>1384</v>
      </c>
      <c r="K67" s="46" t="s">
        <v>1385</v>
      </c>
      <c r="L67" s="46" t="s">
        <v>1386</v>
      </c>
      <c r="M67" s="46" t="s">
        <v>1387</v>
      </c>
      <c r="N67" s="46" t="s">
        <v>1388</v>
      </c>
      <c r="O67" s="46" t="s">
        <v>1389</v>
      </c>
    </row>
    <row r="68" spans="2:15">
      <c r="B68" s="46" t="s">
        <v>61</v>
      </c>
      <c r="C68" s="46" t="s">
        <v>4775</v>
      </c>
      <c r="D68" s="46" t="s">
        <v>2978</v>
      </c>
      <c r="E68" s="46" t="s">
        <v>56</v>
      </c>
      <c r="F68" s="46" t="s">
        <v>4776</v>
      </c>
      <c r="G68" s="46" t="s">
        <v>4777</v>
      </c>
      <c r="H68" s="46" t="s">
        <v>1390</v>
      </c>
      <c r="I68" s="46" t="s">
        <v>1391</v>
      </c>
      <c r="J68" s="46" t="s">
        <v>1392</v>
      </c>
      <c r="K68" s="46" t="s">
        <v>1393</v>
      </c>
      <c r="L68" s="46" t="s">
        <v>1394</v>
      </c>
      <c r="M68" s="46" t="s">
        <v>1395</v>
      </c>
      <c r="N68" s="46" t="s">
        <v>1396</v>
      </c>
      <c r="O68" s="46" t="s">
        <v>1397</v>
      </c>
    </row>
    <row r="69" spans="2:15">
      <c r="B69" s="46" t="s">
        <v>61</v>
      </c>
      <c r="C69" s="46" t="s">
        <v>4778</v>
      </c>
      <c r="D69" s="46" t="s">
        <v>2988</v>
      </c>
      <c r="O69" s="46" t="s">
        <v>1398</v>
      </c>
    </row>
    <row r="70" spans="2:15">
      <c r="B70" s="46" t="s">
        <v>63</v>
      </c>
      <c r="C70" s="46" t="s">
        <v>4779</v>
      </c>
      <c r="D70" s="46" t="s">
        <v>2998</v>
      </c>
      <c r="E70" s="46" t="s">
        <v>64</v>
      </c>
      <c r="F70" s="46" t="s">
        <v>4780</v>
      </c>
      <c r="G70" s="46" t="s">
        <v>4781</v>
      </c>
      <c r="H70" s="46" t="s">
        <v>1399</v>
      </c>
      <c r="I70" s="46" t="s">
        <v>1400</v>
      </c>
      <c r="J70" s="46" t="s">
        <v>1401</v>
      </c>
      <c r="K70" s="46" t="s">
        <v>1402</v>
      </c>
      <c r="L70" s="46" t="s">
        <v>1403</v>
      </c>
      <c r="M70" s="46" t="s">
        <v>1404</v>
      </c>
      <c r="N70" s="46" t="s">
        <v>1405</v>
      </c>
      <c r="O70" s="46" t="s">
        <v>1406</v>
      </c>
    </row>
    <row r="71" spans="2:15">
      <c r="B71" s="46" t="s">
        <v>63</v>
      </c>
      <c r="C71" s="46" t="s">
        <v>4782</v>
      </c>
      <c r="D71" s="46" t="s">
        <v>3008</v>
      </c>
      <c r="E71" s="46" t="s">
        <v>56</v>
      </c>
      <c r="F71" s="46" t="s">
        <v>4783</v>
      </c>
      <c r="G71" s="46" t="s">
        <v>4784</v>
      </c>
      <c r="H71" s="46" t="s">
        <v>1407</v>
      </c>
      <c r="I71" s="46" t="s">
        <v>1408</v>
      </c>
      <c r="J71" s="46" t="s">
        <v>1409</v>
      </c>
      <c r="K71" s="46" t="s">
        <v>1410</v>
      </c>
      <c r="L71" s="46" t="s">
        <v>1411</v>
      </c>
      <c r="M71" s="46" t="s">
        <v>1412</v>
      </c>
      <c r="N71" s="46" t="s">
        <v>1413</v>
      </c>
      <c r="O71" s="46" t="s">
        <v>1414</v>
      </c>
    </row>
    <row r="72" spans="2:15">
      <c r="B72" s="46" t="s">
        <v>63</v>
      </c>
      <c r="C72" s="46" t="s">
        <v>4785</v>
      </c>
      <c r="D72" s="46" t="s">
        <v>3018</v>
      </c>
      <c r="O72" s="46" t="s">
        <v>1415</v>
      </c>
    </row>
    <row r="73" spans="2:15">
      <c r="B73" s="46" t="s">
        <v>65</v>
      </c>
      <c r="C73" s="46" t="s">
        <v>4786</v>
      </c>
      <c r="D73" s="46" t="s">
        <v>3028</v>
      </c>
      <c r="H73" s="46" t="s">
        <v>1095</v>
      </c>
      <c r="I73" s="46" t="s">
        <v>1416</v>
      </c>
      <c r="J73" s="46" t="s">
        <v>1417</v>
      </c>
      <c r="K73" s="46" t="s">
        <v>1418</v>
      </c>
      <c r="L73" s="46" t="s">
        <v>1419</v>
      </c>
      <c r="M73" s="46" t="s">
        <v>1420</v>
      </c>
      <c r="N73" s="46" t="s">
        <v>1421</v>
      </c>
      <c r="O73" s="46" t="s">
        <v>1422</v>
      </c>
    </row>
    <row r="74" spans="2:15">
      <c r="B74" s="46" t="s">
        <v>66</v>
      </c>
      <c r="C74" s="46" t="s">
        <v>4787</v>
      </c>
      <c r="D74" s="46" t="s">
        <v>3038</v>
      </c>
      <c r="H74" s="46" t="s">
        <v>1095</v>
      </c>
      <c r="I74" s="46" t="s">
        <v>1423</v>
      </c>
      <c r="J74" s="46" t="s">
        <v>1424</v>
      </c>
      <c r="K74" s="46" t="s">
        <v>1425</v>
      </c>
      <c r="L74" s="46" t="s">
        <v>1426</v>
      </c>
      <c r="M74" s="46" t="s">
        <v>1427</v>
      </c>
      <c r="N74" s="46" t="s">
        <v>1428</v>
      </c>
      <c r="O74" s="46" t="s">
        <v>1429</v>
      </c>
    </row>
    <row r="75" spans="2:15">
      <c r="B75" s="46" t="s">
        <v>67</v>
      </c>
      <c r="C75" s="46" t="s">
        <v>4788</v>
      </c>
      <c r="D75" s="46" t="s">
        <v>3048</v>
      </c>
      <c r="H75" s="46" t="s">
        <v>1095</v>
      </c>
      <c r="I75" s="46" t="s">
        <v>1430</v>
      </c>
      <c r="J75" s="46" t="s">
        <v>1431</v>
      </c>
      <c r="K75" s="46" t="s">
        <v>1432</v>
      </c>
      <c r="L75" s="46" t="s">
        <v>1433</v>
      </c>
      <c r="M75" s="46" t="s">
        <v>1434</v>
      </c>
      <c r="N75" s="46" t="s">
        <v>1435</v>
      </c>
      <c r="O75" s="46" t="s">
        <v>1436</v>
      </c>
    </row>
    <row r="76" spans="2:15">
      <c r="B76" s="46" t="s">
        <v>68</v>
      </c>
      <c r="C76" s="46" t="s">
        <v>4789</v>
      </c>
      <c r="D76" s="46" t="s">
        <v>3058</v>
      </c>
      <c r="H76" s="46" t="s">
        <v>1095</v>
      </c>
      <c r="I76" s="46" t="s">
        <v>1437</v>
      </c>
      <c r="J76" s="46" t="s">
        <v>1438</v>
      </c>
      <c r="K76" s="46" t="s">
        <v>1439</v>
      </c>
      <c r="L76" s="46" t="s">
        <v>1440</v>
      </c>
      <c r="M76" s="46" t="s">
        <v>1441</v>
      </c>
      <c r="N76" s="46" t="s">
        <v>1442</v>
      </c>
      <c r="O76" s="46" t="s">
        <v>1443</v>
      </c>
    </row>
    <row r="77" spans="2:15">
      <c r="B77" s="46" t="s">
        <v>69</v>
      </c>
      <c r="C77" s="46" t="s">
        <v>4790</v>
      </c>
      <c r="D77" s="46" t="s">
        <v>3068</v>
      </c>
      <c r="H77" s="46" t="s">
        <v>1095</v>
      </c>
      <c r="I77" s="46" t="s">
        <v>1444</v>
      </c>
      <c r="J77" s="46" t="s">
        <v>1445</v>
      </c>
      <c r="K77" s="46" t="s">
        <v>1446</v>
      </c>
      <c r="L77" s="46" t="s">
        <v>1447</v>
      </c>
      <c r="M77" s="46" t="s">
        <v>1448</v>
      </c>
      <c r="N77" s="46" t="s">
        <v>1449</v>
      </c>
      <c r="O77" s="46" t="s">
        <v>1450</v>
      </c>
    </row>
    <row r="78" spans="2:15">
      <c r="B78" s="46" t="s">
        <v>70</v>
      </c>
      <c r="C78" s="46" t="s">
        <v>4791</v>
      </c>
      <c r="D78" s="46" t="s">
        <v>3078</v>
      </c>
      <c r="H78" s="46" t="s">
        <v>1095</v>
      </c>
      <c r="I78" s="46" t="s">
        <v>1451</v>
      </c>
      <c r="J78" s="46" t="s">
        <v>1452</v>
      </c>
      <c r="K78" s="46" t="s">
        <v>1453</v>
      </c>
      <c r="L78" s="46" t="s">
        <v>1454</v>
      </c>
      <c r="M78" s="46" t="s">
        <v>1455</v>
      </c>
      <c r="N78" s="46" t="s">
        <v>1456</v>
      </c>
      <c r="O78" s="46" t="s">
        <v>1457</v>
      </c>
    </row>
    <row r="79" spans="2:15">
      <c r="B79" s="46" t="s">
        <v>71</v>
      </c>
      <c r="C79" s="46" t="s">
        <v>4792</v>
      </c>
      <c r="D79" s="46" t="s">
        <v>3088</v>
      </c>
      <c r="H79" s="46" t="s">
        <v>1095</v>
      </c>
      <c r="I79" s="46" t="s">
        <v>1458</v>
      </c>
      <c r="J79" s="46" t="s">
        <v>1459</v>
      </c>
      <c r="K79" s="46" t="s">
        <v>1460</v>
      </c>
      <c r="L79" s="46" t="s">
        <v>1461</v>
      </c>
      <c r="M79" s="46" t="s">
        <v>1462</v>
      </c>
      <c r="N79" s="46" t="s">
        <v>1463</v>
      </c>
      <c r="O79" s="46" t="s">
        <v>1464</v>
      </c>
    </row>
    <row r="80" spans="2:15">
      <c r="B80" s="46" t="s">
        <v>72</v>
      </c>
      <c r="C80" s="46" t="s">
        <v>4793</v>
      </c>
      <c r="D80" s="46" t="s">
        <v>3098</v>
      </c>
      <c r="H80" s="46" t="s">
        <v>1095</v>
      </c>
      <c r="I80" s="46" t="s">
        <v>1465</v>
      </c>
      <c r="J80" s="46" t="s">
        <v>1466</v>
      </c>
      <c r="K80" s="46" t="s">
        <v>1467</v>
      </c>
      <c r="L80" s="46" t="s">
        <v>1468</v>
      </c>
      <c r="M80" s="46" t="s">
        <v>1469</v>
      </c>
      <c r="N80" s="46" t="s">
        <v>1470</v>
      </c>
      <c r="O80" s="46" t="s">
        <v>1471</v>
      </c>
    </row>
    <row r="81" spans="2:15">
      <c r="B81" s="46" t="s">
        <v>73</v>
      </c>
      <c r="C81" s="46" t="s">
        <v>4794</v>
      </c>
      <c r="D81" s="46" t="s">
        <v>3108</v>
      </c>
      <c r="H81" s="46" t="s">
        <v>1095</v>
      </c>
      <c r="I81" s="46" t="s">
        <v>1472</v>
      </c>
      <c r="J81" s="46" t="s">
        <v>1473</v>
      </c>
      <c r="K81" s="46" t="s">
        <v>1474</v>
      </c>
      <c r="L81" s="46" t="s">
        <v>1475</v>
      </c>
      <c r="M81" s="46" t="s">
        <v>1476</v>
      </c>
      <c r="N81" s="46" t="s">
        <v>1477</v>
      </c>
      <c r="O81" s="46" t="s">
        <v>1478</v>
      </c>
    </row>
    <row r="82" spans="2:15">
      <c r="B82" s="46" t="s">
        <v>74</v>
      </c>
      <c r="C82" s="46" t="s">
        <v>4795</v>
      </c>
      <c r="D82" s="46" t="s">
        <v>3118</v>
      </c>
      <c r="H82" s="46" t="s">
        <v>1095</v>
      </c>
      <c r="I82" s="46" t="s">
        <v>1479</v>
      </c>
      <c r="J82" s="46" t="s">
        <v>1480</v>
      </c>
      <c r="K82" s="46" t="s">
        <v>1481</v>
      </c>
      <c r="L82" s="46" t="s">
        <v>1482</v>
      </c>
      <c r="M82" s="46" t="s">
        <v>1483</v>
      </c>
      <c r="N82" s="46" t="s">
        <v>1484</v>
      </c>
      <c r="O82" s="46" t="s">
        <v>1485</v>
      </c>
    </row>
    <row r="83" spans="2:15">
      <c r="B83" s="46" t="s">
        <v>75</v>
      </c>
      <c r="C83" s="46" t="s">
        <v>4796</v>
      </c>
      <c r="D83" s="46" t="s">
        <v>3128</v>
      </c>
      <c r="H83" s="46" t="s">
        <v>1095</v>
      </c>
      <c r="I83" s="46" t="s">
        <v>1486</v>
      </c>
      <c r="J83" s="46" t="s">
        <v>1487</v>
      </c>
      <c r="K83" s="46" t="s">
        <v>1488</v>
      </c>
      <c r="L83" s="46" t="s">
        <v>1489</v>
      </c>
      <c r="M83" s="46" t="s">
        <v>1490</v>
      </c>
      <c r="N83" s="46" t="s">
        <v>1491</v>
      </c>
      <c r="O83" s="46" t="s">
        <v>1492</v>
      </c>
    </row>
    <row r="84" spans="2:15">
      <c r="B84" s="46" t="s">
        <v>76</v>
      </c>
      <c r="C84" s="46" t="s">
        <v>4797</v>
      </c>
      <c r="D84" s="46" t="s">
        <v>3138</v>
      </c>
      <c r="H84" s="46" t="s">
        <v>1095</v>
      </c>
      <c r="I84" s="46" t="s">
        <v>1493</v>
      </c>
      <c r="J84" s="46" t="s">
        <v>1494</v>
      </c>
      <c r="K84" s="46" t="s">
        <v>1495</v>
      </c>
      <c r="L84" s="46" t="s">
        <v>1496</v>
      </c>
      <c r="M84" s="46" t="s">
        <v>1497</v>
      </c>
      <c r="N84" s="46" t="s">
        <v>1498</v>
      </c>
      <c r="O84" s="46" t="s">
        <v>1499</v>
      </c>
    </row>
    <row r="85" spans="2:15">
      <c r="B85" s="46" t="s">
        <v>77</v>
      </c>
      <c r="C85" s="46" t="s">
        <v>4798</v>
      </c>
      <c r="D85" s="46" t="s">
        <v>3148</v>
      </c>
      <c r="H85" s="46" t="s">
        <v>1095</v>
      </c>
      <c r="I85" s="46" t="s">
        <v>1500</v>
      </c>
      <c r="J85" s="46" t="s">
        <v>1501</v>
      </c>
      <c r="K85" s="46" t="s">
        <v>1502</v>
      </c>
      <c r="L85" s="46" t="s">
        <v>1503</v>
      </c>
      <c r="M85" s="46" t="s">
        <v>1504</v>
      </c>
      <c r="N85" s="46" t="s">
        <v>1505</v>
      </c>
      <c r="O85" s="46" t="s">
        <v>1506</v>
      </c>
    </row>
    <row r="86" spans="2:15">
      <c r="B86" s="46" t="s">
        <v>78</v>
      </c>
      <c r="C86" s="46" t="s">
        <v>4799</v>
      </c>
      <c r="D86" s="46" t="s">
        <v>3158</v>
      </c>
      <c r="H86" s="46" t="s">
        <v>1095</v>
      </c>
      <c r="I86" s="46" t="s">
        <v>1507</v>
      </c>
      <c r="J86" s="46" t="s">
        <v>1508</v>
      </c>
      <c r="K86" s="46" t="s">
        <v>1509</v>
      </c>
      <c r="L86" s="46" t="s">
        <v>1510</v>
      </c>
      <c r="M86" s="46" t="s">
        <v>1511</v>
      </c>
      <c r="N86" s="46" t="s">
        <v>1512</v>
      </c>
      <c r="O86" s="46" t="s">
        <v>1513</v>
      </c>
    </row>
    <row r="87" spans="2:15">
      <c r="B87" s="46" t="s">
        <v>79</v>
      </c>
      <c r="C87" s="46" t="s">
        <v>4800</v>
      </c>
      <c r="D87" s="46" t="s">
        <v>3168</v>
      </c>
      <c r="H87" s="46" t="s">
        <v>1095</v>
      </c>
      <c r="I87" s="46" t="s">
        <v>1514</v>
      </c>
      <c r="J87" s="46" t="s">
        <v>1515</v>
      </c>
      <c r="K87" s="46" t="s">
        <v>1516</v>
      </c>
      <c r="L87" s="46" t="s">
        <v>1517</v>
      </c>
      <c r="M87" s="46" t="s">
        <v>1518</v>
      </c>
      <c r="N87" s="46" t="s">
        <v>1519</v>
      </c>
      <c r="O87" s="46" t="s">
        <v>1520</v>
      </c>
    </row>
    <row r="88" spans="2:15">
      <c r="B88" s="46" t="s">
        <v>80</v>
      </c>
      <c r="C88" s="46" t="s">
        <v>4801</v>
      </c>
      <c r="D88" s="46" t="s">
        <v>3178</v>
      </c>
      <c r="H88" s="46" t="s">
        <v>1095</v>
      </c>
      <c r="I88" s="46" t="s">
        <v>1521</v>
      </c>
      <c r="J88" s="46" t="s">
        <v>1522</v>
      </c>
      <c r="K88" s="46" t="s">
        <v>1523</v>
      </c>
      <c r="L88" s="46" t="s">
        <v>1524</v>
      </c>
      <c r="M88" s="46" t="s">
        <v>1525</v>
      </c>
      <c r="N88" s="46" t="s">
        <v>1526</v>
      </c>
      <c r="O88" s="46" t="s">
        <v>1527</v>
      </c>
    </row>
    <row r="89" spans="2:15">
      <c r="B89" s="46" t="s">
        <v>81</v>
      </c>
      <c r="C89" s="46" t="s">
        <v>4802</v>
      </c>
      <c r="D89" s="46" t="s">
        <v>3188</v>
      </c>
      <c r="H89" s="46" t="s">
        <v>1095</v>
      </c>
      <c r="I89" s="46" t="s">
        <v>1528</v>
      </c>
      <c r="J89" s="46" t="s">
        <v>1529</v>
      </c>
      <c r="K89" s="46" t="s">
        <v>1530</v>
      </c>
      <c r="L89" s="46" t="s">
        <v>1531</v>
      </c>
      <c r="M89" s="46" t="s">
        <v>1532</v>
      </c>
      <c r="N89" s="46" t="s">
        <v>1533</v>
      </c>
      <c r="O89" s="46" t="s">
        <v>1534</v>
      </c>
    </row>
    <row r="90" spans="2:15">
      <c r="B90" s="46" t="s">
        <v>82</v>
      </c>
      <c r="C90" s="46" t="s">
        <v>4803</v>
      </c>
      <c r="D90" s="46" t="s">
        <v>3198</v>
      </c>
      <c r="H90" s="46" t="s">
        <v>1095</v>
      </c>
      <c r="I90" s="46" t="s">
        <v>1535</v>
      </c>
      <c r="J90" s="46" t="s">
        <v>1536</v>
      </c>
      <c r="K90" s="46" t="s">
        <v>1537</v>
      </c>
      <c r="L90" s="46" t="s">
        <v>1538</v>
      </c>
      <c r="M90" s="46" t="s">
        <v>1539</v>
      </c>
      <c r="N90" s="46" t="s">
        <v>1540</v>
      </c>
      <c r="O90" s="46" t="s">
        <v>1541</v>
      </c>
    </row>
    <row r="91" spans="2:15">
      <c r="B91" s="46" t="s">
        <v>83</v>
      </c>
      <c r="C91" s="46" t="s">
        <v>4804</v>
      </c>
      <c r="D91" s="46" t="s">
        <v>3208</v>
      </c>
      <c r="H91" s="46" t="s">
        <v>1095</v>
      </c>
      <c r="I91" s="46" t="s">
        <v>1542</v>
      </c>
      <c r="J91" s="46" t="s">
        <v>1543</v>
      </c>
      <c r="K91" s="46" t="s">
        <v>1544</v>
      </c>
      <c r="L91" s="46" t="s">
        <v>1545</v>
      </c>
      <c r="M91" s="46" t="s">
        <v>1546</v>
      </c>
      <c r="N91" s="46" t="s">
        <v>1547</v>
      </c>
      <c r="O91" s="46" t="s">
        <v>1548</v>
      </c>
    </row>
    <row r="92" spans="2:15">
      <c r="B92" s="46" t="s">
        <v>84</v>
      </c>
      <c r="C92" s="46" t="s">
        <v>4805</v>
      </c>
      <c r="D92" s="46" t="s">
        <v>3218</v>
      </c>
      <c r="H92" s="46" t="s">
        <v>1095</v>
      </c>
      <c r="I92" s="46" t="s">
        <v>1549</v>
      </c>
      <c r="J92" s="46" t="s">
        <v>1550</v>
      </c>
      <c r="K92" s="46" t="s">
        <v>1551</v>
      </c>
      <c r="L92" s="46" t="s">
        <v>1552</v>
      </c>
      <c r="M92" s="46" t="s">
        <v>1553</v>
      </c>
      <c r="N92" s="46" t="s">
        <v>1554</v>
      </c>
      <c r="O92" s="46" t="s">
        <v>1555</v>
      </c>
    </row>
    <row r="93" spans="2:15">
      <c r="B93" s="46" t="s">
        <v>85</v>
      </c>
      <c r="C93" s="46" t="s">
        <v>4806</v>
      </c>
      <c r="D93" s="46" t="s">
        <v>3228</v>
      </c>
      <c r="H93" s="46" t="s">
        <v>1095</v>
      </c>
      <c r="I93" s="46" t="s">
        <v>1556</v>
      </c>
      <c r="J93" s="46" t="s">
        <v>1557</v>
      </c>
      <c r="K93" s="46" t="s">
        <v>1558</v>
      </c>
      <c r="L93" s="46" t="s">
        <v>1559</v>
      </c>
      <c r="M93" s="46" t="s">
        <v>1560</v>
      </c>
      <c r="N93" s="46" t="s">
        <v>1561</v>
      </c>
      <c r="O93" s="46" t="s">
        <v>1562</v>
      </c>
    </row>
    <row r="94" spans="2:15">
      <c r="B94" s="46" t="s">
        <v>86</v>
      </c>
      <c r="C94" s="46" t="s">
        <v>4807</v>
      </c>
      <c r="D94" s="46" t="s">
        <v>3238</v>
      </c>
      <c r="H94" s="46" t="s">
        <v>1095</v>
      </c>
      <c r="I94" s="46" t="s">
        <v>1563</v>
      </c>
      <c r="J94" s="46" t="s">
        <v>1564</v>
      </c>
      <c r="K94" s="46" t="s">
        <v>1565</v>
      </c>
      <c r="L94" s="46" t="s">
        <v>1566</v>
      </c>
      <c r="M94" s="46" t="s">
        <v>1567</v>
      </c>
      <c r="N94" s="46" t="s">
        <v>1568</v>
      </c>
      <c r="O94" s="46" t="s">
        <v>1569</v>
      </c>
    </row>
    <row r="95" spans="2:15">
      <c r="B95" s="46" t="s">
        <v>87</v>
      </c>
      <c r="C95" s="46" t="s">
        <v>4808</v>
      </c>
      <c r="D95" s="46" t="s">
        <v>3248</v>
      </c>
      <c r="H95" s="46" t="s">
        <v>1095</v>
      </c>
      <c r="I95" s="46" t="s">
        <v>1570</v>
      </c>
      <c r="J95" s="46" t="s">
        <v>1571</v>
      </c>
      <c r="K95" s="46" t="s">
        <v>1572</v>
      </c>
      <c r="L95" s="46" t="s">
        <v>1573</v>
      </c>
      <c r="M95" s="46" t="s">
        <v>1574</v>
      </c>
      <c r="N95" s="46" t="s">
        <v>1575</v>
      </c>
      <c r="O95" s="46" t="s">
        <v>1576</v>
      </c>
    </row>
    <row r="96" spans="2:15">
      <c r="B96" s="46" t="s">
        <v>88</v>
      </c>
      <c r="C96" s="46" t="s">
        <v>4809</v>
      </c>
      <c r="D96" s="46" t="s">
        <v>3258</v>
      </c>
      <c r="H96" s="46" t="s">
        <v>1095</v>
      </c>
      <c r="I96" s="46" t="s">
        <v>1577</v>
      </c>
      <c r="J96" s="46" t="s">
        <v>1578</v>
      </c>
      <c r="K96" s="46" t="s">
        <v>1579</v>
      </c>
      <c r="L96" s="46" t="s">
        <v>1580</v>
      </c>
      <c r="M96" s="46" t="s">
        <v>1581</v>
      </c>
      <c r="N96" s="46" t="s">
        <v>1582</v>
      </c>
      <c r="O96" s="46" t="s">
        <v>1583</v>
      </c>
    </row>
    <row r="97" spans="2:15">
      <c r="B97" s="46" t="s">
        <v>89</v>
      </c>
      <c r="C97" s="46" t="s">
        <v>4810</v>
      </c>
      <c r="D97" s="46" t="s">
        <v>3268</v>
      </c>
      <c r="H97" s="46" t="s">
        <v>1095</v>
      </c>
      <c r="I97" s="46" t="s">
        <v>1584</v>
      </c>
      <c r="J97" s="46" t="s">
        <v>1585</v>
      </c>
      <c r="K97" s="46" t="s">
        <v>1586</v>
      </c>
      <c r="L97" s="46" t="s">
        <v>1587</v>
      </c>
      <c r="M97" s="46" t="s">
        <v>1588</v>
      </c>
      <c r="N97" s="46" t="s">
        <v>1589</v>
      </c>
      <c r="O97" s="46" t="s">
        <v>1590</v>
      </c>
    </row>
    <row r="98" spans="2:15">
      <c r="B98" s="46" t="s">
        <v>90</v>
      </c>
      <c r="C98" s="46" t="s">
        <v>4811</v>
      </c>
      <c r="D98" s="46" t="s">
        <v>3278</v>
      </c>
      <c r="H98" s="46" t="s">
        <v>1095</v>
      </c>
      <c r="I98" s="46" t="s">
        <v>1591</v>
      </c>
      <c r="J98" s="46" t="s">
        <v>1592</v>
      </c>
      <c r="K98" s="46" t="s">
        <v>1593</v>
      </c>
      <c r="L98" s="46" t="s">
        <v>1594</v>
      </c>
      <c r="M98" s="46" t="s">
        <v>1595</v>
      </c>
      <c r="N98" s="46" t="s">
        <v>1596</v>
      </c>
      <c r="O98" s="46" t="s">
        <v>1597</v>
      </c>
    </row>
    <row r="99" spans="2:15">
      <c r="B99" s="46" t="s">
        <v>91</v>
      </c>
      <c r="C99" s="46" t="s">
        <v>4812</v>
      </c>
      <c r="D99" s="46" t="s">
        <v>3288</v>
      </c>
      <c r="H99" s="46" t="s">
        <v>1095</v>
      </c>
      <c r="I99" s="46" t="s">
        <v>1598</v>
      </c>
      <c r="J99" s="46" t="s">
        <v>1599</v>
      </c>
      <c r="K99" s="46" t="s">
        <v>1600</v>
      </c>
      <c r="L99" s="46" t="s">
        <v>1601</v>
      </c>
      <c r="M99" s="46" t="s">
        <v>1602</v>
      </c>
      <c r="N99" s="46" t="s">
        <v>1603</v>
      </c>
      <c r="O99" s="46" t="s">
        <v>1604</v>
      </c>
    </row>
    <row r="100" spans="2:15">
      <c r="B100" s="46" t="s">
        <v>92</v>
      </c>
      <c r="C100" s="46" t="s">
        <v>4813</v>
      </c>
      <c r="D100" s="46" t="s">
        <v>3298</v>
      </c>
      <c r="H100" s="46" t="s">
        <v>1095</v>
      </c>
      <c r="I100" s="46" t="s">
        <v>1605</v>
      </c>
      <c r="J100" s="46" t="s">
        <v>1606</v>
      </c>
      <c r="K100" s="46" t="s">
        <v>1607</v>
      </c>
      <c r="L100" s="46" t="s">
        <v>1608</v>
      </c>
      <c r="M100" s="46" t="s">
        <v>1609</v>
      </c>
      <c r="N100" s="46" t="s">
        <v>1610</v>
      </c>
      <c r="O100" s="46" t="s">
        <v>1611</v>
      </c>
    </row>
    <row r="101" spans="2:15">
      <c r="B101" s="46" t="s">
        <v>93</v>
      </c>
      <c r="C101" s="46" t="s">
        <v>4814</v>
      </c>
      <c r="D101" s="46" t="s">
        <v>3308</v>
      </c>
      <c r="H101" s="46" t="s">
        <v>1095</v>
      </c>
      <c r="I101" s="46" t="s">
        <v>1612</v>
      </c>
      <c r="J101" s="46" t="s">
        <v>1613</v>
      </c>
      <c r="K101" s="46" t="s">
        <v>1614</v>
      </c>
      <c r="L101" s="46" t="s">
        <v>1615</v>
      </c>
      <c r="M101" s="46" t="s">
        <v>1616</v>
      </c>
      <c r="N101" s="46" t="s">
        <v>1617</v>
      </c>
      <c r="O101" s="46" t="s">
        <v>1618</v>
      </c>
    </row>
    <row r="102" spans="2:15">
      <c r="B102" s="46" t="s">
        <v>94</v>
      </c>
      <c r="C102" s="46" t="s">
        <v>4815</v>
      </c>
      <c r="D102" s="46" t="s">
        <v>3318</v>
      </c>
      <c r="H102" s="46" t="s">
        <v>1095</v>
      </c>
      <c r="I102" s="46" t="s">
        <v>1619</v>
      </c>
      <c r="J102" s="46" t="s">
        <v>1620</v>
      </c>
      <c r="K102" s="46" t="s">
        <v>1621</v>
      </c>
      <c r="L102" s="46" t="s">
        <v>1622</v>
      </c>
      <c r="M102" s="46" t="s">
        <v>1623</v>
      </c>
      <c r="N102" s="46" t="s">
        <v>1624</v>
      </c>
      <c r="O102" s="46" t="s">
        <v>1625</v>
      </c>
    </row>
    <row r="103" spans="2:15">
      <c r="B103" s="46" t="s">
        <v>95</v>
      </c>
      <c r="C103" s="46" t="s">
        <v>4816</v>
      </c>
      <c r="D103" s="46" t="s">
        <v>3328</v>
      </c>
      <c r="H103" s="46" t="s">
        <v>1095</v>
      </c>
      <c r="I103" s="46" t="s">
        <v>1626</v>
      </c>
      <c r="J103" s="46" t="s">
        <v>1627</v>
      </c>
      <c r="K103" s="46" t="s">
        <v>1628</v>
      </c>
      <c r="L103" s="46" t="s">
        <v>1629</v>
      </c>
      <c r="M103" s="46" t="s">
        <v>1630</v>
      </c>
      <c r="N103" s="46" t="s">
        <v>1631</v>
      </c>
      <c r="O103" s="46" t="s">
        <v>1632</v>
      </c>
    </row>
    <row r="104" spans="2:15">
      <c r="B104" s="46" t="s">
        <v>96</v>
      </c>
      <c r="C104" s="46" t="s">
        <v>4817</v>
      </c>
      <c r="D104" s="46" t="s">
        <v>3338</v>
      </c>
      <c r="H104" s="46" t="s">
        <v>1095</v>
      </c>
      <c r="I104" s="46" t="s">
        <v>1633</v>
      </c>
      <c r="J104" s="46" t="s">
        <v>1634</v>
      </c>
      <c r="K104" s="46" t="s">
        <v>1635</v>
      </c>
      <c r="L104" s="46" t="s">
        <v>1636</v>
      </c>
      <c r="M104" s="46" t="s">
        <v>1637</v>
      </c>
      <c r="N104" s="46" t="s">
        <v>1638</v>
      </c>
      <c r="O104" s="46" t="s">
        <v>1639</v>
      </c>
    </row>
    <row r="105" spans="2:15">
      <c r="B105" s="46" t="s">
        <v>97</v>
      </c>
      <c r="C105" s="46" t="s">
        <v>4818</v>
      </c>
      <c r="D105" s="46" t="s">
        <v>3348</v>
      </c>
      <c r="H105" s="46" t="s">
        <v>1095</v>
      </c>
      <c r="I105" s="46" t="s">
        <v>1640</v>
      </c>
      <c r="J105" s="46" t="s">
        <v>1641</v>
      </c>
      <c r="K105" s="46" t="s">
        <v>1642</v>
      </c>
      <c r="L105" s="46" t="s">
        <v>1643</v>
      </c>
      <c r="M105" s="46" t="s">
        <v>1644</v>
      </c>
      <c r="N105" s="46" t="s">
        <v>1645</v>
      </c>
      <c r="O105" s="46" t="s">
        <v>1646</v>
      </c>
    </row>
    <row r="106" spans="2:15">
      <c r="B106" s="46" t="s">
        <v>98</v>
      </c>
      <c r="C106" s="46" t="s">
        <v>4819</v>
      </c>
      <c r="D106" s="46" t="s">
        <v>3358</v>
      </c>
      <c r="H106" s="46" t="s">
        <v>1095</v>
      </c>
      <c r="I106" s="46" t="s">
        <v>1647</v>
      </c>
      <c r="J106" s="46" t="s">
        <v>1648</v>
      </c>
      <c r="K106" s="46" t="s">
        <v>1649</v>
      </c>
      <c r="L106" s="46" t="s">
        <v>1650</v>
      </c>
      <c r="M106" s="46" t="s">
        <v>1651</v>
      </c>
      <c r="N106" s="46" t="s">
        <v>1652</v>
      </c>
      <c r="O106" s="46" t="s">
        <v>1653</v>
      </c>
    </row>
    <row r="107" spans="2:15">
      <c r="B107" s="46" t="s">
        <v>99</v>
      </c>
      <c r="C107" s="46" t="s">
        <v>4820</v>
      </c>
      <c r="D107" s="46" t="s">
        <v>3368</v>
      </c>
      <c r="H107" s="46" t="s">
        <v>1095</v>
      </c>
      <c r="I107" s="46" t="s">
        <v>1654</v>
      </c>
      <c r="J107" s="46" t="s">
        <v>1655</v>
      </c>
      <c r="K107" s="46" t="s">
        <v>1656</v>
      </c>
      <c r="L107" s="46" t="s">
        <v>1657</v>
      </c>
      <c r="M107" s="46" t="s">
        <v>1658</v>
      </c>
      <c r="N107" s="46" t="s">
        <v>1659</v>
      </c>
      <c r="O107" s="46" t="s">
        <v>1660</v>
      </c>
    </row>
    <row r="108" spans="2:15">
      <c r="B108" s="46" t="s">
        <v>100</v>
      </c>
      <c r="C108" s="46" t="s">
        <v>4821</v>
      </c>
      <c r="D108" s="46" t="s">
        <v>3378</v>
      </c>
      <c r="H108" s="46" t="s">
        <v>1095</v>
      </c>
      <c r="I108" s="46" t="s">
        <v>1661</v>
      </c>
      <c r="J108" s="46" t="s">
        <v>1662</v>
      </c>
      <c r="K108" s="46" t="s">
        <v>1663</v>
      </c>
      <c r="L108" s="46" t="s">
        <v>1664</v>
      </c>
      <c r="M108" s="46" t="s">
        <v>1665</v>
      </c>
      <c r="N108" s="46" t="s">
        <v>1666</v>
      </c>
      <c r="O108" s="46" t="s">
        <v>1667</v>
      </c>
    </row>
    <row r="109" spans="2:15">
      <c r="B109" s="46" t="s">
        <v>101</v>
      </c>
      <c r="C109" s="46" t="s">
        <v>4822</v>
      </c>
      <c r="D109" s="46" t="s">
        <v>3388</v>
      </c>
      <c r="H109" s="46" t="s">
        <v>1095</v>
      </c>
      <c r="I109" s="46" t="s">
        <v>1668</v>
      </c>
      <c r="J109" s="46" t="s">
        <v>1669</v>
      </c>
      <c r="K109" s="46" t="s">
        <v>1670</v>
      </c>
      <c r="L109" s="46" t="s">
        <v>1671</v>
      </c>
      <c r="M109" s="46" t="s">
        <v>1672</v>
      </c>
      <c r="N109" s="46" t="s">
        <v>1673</v>
      </c>
      <c r="O109" s="46" t="s">
        <v>1674</v>
      </c>
    </row>
    <row r="110" spans="2:15">
      <c r="B110" s="46" t="s">
        <v>102</v>
      </c>
      <c r="C110" s="46" t="s">
        <v>4823</v>
      </c>
      <c r="D110" s="46" t="s">
        <v>3398</v>
      </c>
      <c r="H110" s="46" t="s">
        <v>1095</v>
      </c>
      <c r="I110" s="46" t="s">
        <v>1675</v>
      </c>
      <c r="J110" s="46" t="s">
        <v>1676</v>
      </c>
      <c r="K110" s="46" t="s">
        <v>1677</v>
      </c>
      <c r="L110" s="46" t="s">
        <v>1678</v>
      </c>
      <c r="M110" s="46" t="s">
        <v>1679</v>
      </c>
      <c r="N110" s="46" t="s">
        <v>1680</v>
      </c>
      <c r="O110" s="46" t="s">
        <v>1681</v>
      </c>
    </row>
    <row r="111" spans="2:15">
      <c r="B111" s="46" t="s">
        <v>103</v>
      </c>
      <c r="C111" s="46" t="s">
        <v>4824</v>
      </c>
      <c r="D111" s="46" t="s">
        <v>3408</v>
      </c>
      <c r="H111" s="46" t="s">
        <v>1095</v>
      </c>
      <c r="I111" s="46" t="s">
        <v>1682</v>
      </c>
      <c r="J111" s="46" t="s">
        <v>1683</v>
      </c>
      <c r="K111" s="46" t="s">
        <v>1684</v>
      </c>
      <c r="L111" s="46" t="s">
        <v>1685</v>
      </c>
      <c r="M111" s="46" t="s">
        <v>1686</v>
      </c>
      <c r="N111" s="46" t="s">
        <v>1687</v>
      </c>
      <c r="O111" s="46" t="s">
        <v>1688</v>
      </c>
    </row>
    <row r="112" spans="2:15">
      <c r="B112" s="46" t="s">
        <v>104</v>
      </c>
      <c r="C112" s="46" t="s">
        <v>4825</v>
      </c>
      <c r="D112" s="46" t="s">
        <v>3418</v>
      </c>
      <c r="H112" s="46" t="s">
        <v>1095</v>
      </c>
      <c r="I112" s="46" t="s">
        <v>1689</v>
      </c>
      <c r="J112" s="46" t="s">
        <v>1690</v>
      </c>
      <c r="K112" s="46" t="s">
        <v>1691</v>
      </c>
      <c r="L112" s="46" t="s">
        <v>1692</v>
      </c>
      <c r="M112" s="46" t="s">
        <v>1693</v>
      </c>
      <c r="N112" s="46" t="s">
        <v>1694</v>
      </c>
      <c r="O112" s="46" t="s">
        <v>1695</v>
      </c>
    </row>
    <row r="113" spans="2:15">
      <c r="B113" s="46" t="s">
        <v>105</v>
      </c>
      <c r="C113" s="46" t="s">
        <v>4826</v>
      </c>
      <c r="D113" s="46" t="s">
        <v>3428</v>
      </c>
      <c r="H113" s="46" t="s">
        <v>1095</v>
      </c>
      <c r="I113" s="46" t="s">
        <v>1696</v>
      </c>
      <c r="J113" s="46" t="s">
        <v>1697</v>
      </c>
      <c r="K113" s="46" t="s">
        <v>1698</v>
      </c>
      <c r="L113" s="46" t="s">
        <v>1699</v>
      </c>
      <c r="M113" s="46" t="s">
        <v>1700</v>
      </c>
      <c r="N113" s="46" t="s">
        <v>1701</v>
      </c>
      <c r="O113" s="46" t="s">
        <v>1702</v>
      </c>
    </row>
    <row r="114" spans="2:15">
      <c r="B114" s="46" t="s">
        <v>106</v>
      </c>
      <c r="C114" s="46" t="s">
        <v>4827</v>
      </c>
      <c r="D114" s="46" t="s">
        <v>3438</v>
      </c>
      <c r="H114" s="46" t="s">
        <v>1095</v>
      </c>
      <c r="I114" s="46" t="s">
        <v>1703</v>
      </c>
      <c r="J114" s="46" t="s">
        <v>1704</v>
      </c>
      <c r="K114" s="46" t="s">
        <v>1705</v>
      </c>
      <c r="L114" s="46" t="s">
        <v>1706</v>
      </c>
      <c r="M114" s="46" t="s">
        <v>1707</v>
      </c>
      <c r="N114" s="46" t="s">
        <v>1708</v>
      </c>
      <c r="O114" s="46" t="s">
        <v>1709</v>
      </c>
    </row>
    <row r="115" spans="2:15">
      <c r="B115" s="46" t="s">
        <v>107</v>
      </c>
      <c r="C115" s="46" t="s">
        <v>4828</v>
      </c>
      <c r="D115" s="46" t="s">
        <v>3448</v>
      </c>
      <c r="H115" s="46" t="s">
        <v>1095</v>
      </c>
      <c r="I115" s="46" t="s">
        <v>1710</v>
      </c>
      <c r="J115" s="46" t="s">
        <v>1711</v>
      </c>
      <c r="K115" s="46" t="s">
        <v>1712</v>
      </c>
      <c r="L115" s="46" t="s">
        <v>1713</v>
      </c>
      <c r="M115" s="46" t="s">
        <v>1714</v>
      </c>
      <c r="N115" s="46" t="s">
        <v>1715</v>
      </c>
      <c r="O115" s="46" t="s">
        <v>1716</v>
      </c>
    </row>
    <row r="116" spans="2:15">
      <c r="B116" s="46" t="s">
        <v>108</v>
      </c>
      <c r="C116" s="46" t="s">
        <v>4829</v>
      </c>
      <c r="D116" s="46" t="s">
        <v>3458</v>
      </c>
      <c r="E116" s="46" t="s">
        <v>109</v>
      </c>
      <c r="F116" s="46" t="s">
        <v>4830</v>
      </c>
      <c r="G116" s="46" t="s">
        <v>4831</v>
      </c>
      <c r="H116" s="46" t="s">
        <v>1717</v>
      </c>
      <c r="I116" s="46" t="s">
        <v>1718</v>
      </c>
      <c r="J116" s="46" t="s">
        <v>1719</v>
      </c>
      <c r="K116" s="46" t="s">
        <v>1720</v>
      </c>
      <c r="L116" s="46" t="s">
        <v>1721</v>
      </c>
      <c r="M116" s="46" t="s">
        <v>1722</v>
      </c>
      <c r="N116" s="46" t="s">
        <v>1723</v>
      </c>
      <c r="O116" s="46" t="s">
        <v>1724</v>
      </c>
    </row>
    <row r="117" spans="2:15">
      <c r="B117" s="46" t="s">
        <v>108</v>
      </c>
      <c r="C117" s="46" t="s">
        <v>4832</v>
      </c>
      <c r="D117" s="46" t="s">
        <v>3468</v>
      </c>
      <c r="E117" s="46" t="s">
        <v>110</v>
      </c>
      <c r="F117" s="46" t="s">
        <v>4833</v>
      </c>
      <c r="G117" s="46" t="s">
        <v>4834</v>
      </c>
      <c r="H117" s="46" t="s">
        <v>1725</v>
      </c>
      <c r="I117" s="46" t="s">
        <v>1726</v>
      </c>
      <c r="J117" s="46" t="s">
        <v>1727</v>
      </c>
      <c r="K117" s="46" t="s">
        <v>1728</v>
      </c>
      <c r="L117" s="46" t="s">
        <v>1729</v>
      </c>
      <c r="M117" s="46" t="s">
        <v>1730</v>
      </c>
      <c r="N117" s="46" t="s">
        <v>1731</v>
      </c>
      <c r="O117" s="46" t="s">
        <v>1732</v>
      </c>
    </row>
    <row r="118" spans="2:15">
      <c r="B118" s="46" t="s">
        <v>108</v>
      </c>
      <c r="C118" s="46" t="s">
        <v>4835</v>
      </c>
      <c r="D118" s="46" t="s">
        <v>3478</v>
      </c>
      <c r="O118" s="46" t="s">
        <v>1733</v>
      </c>
    </row>
    <row r="119" spans="2:15">
      <c r="B119" s="46" t="s">
        <v>111</v>
      </c>
      <c r="C119" s="46" t="s">
        <v>4836</v>
      </c>
      <c r="D119" s="46" t="s">
        <v>3488</v>
      </c>
      <c r="H119" s="46" t="s">
        <v>1095</v>
      </c>
      <c r="I119" s="46" t="s">
        <v>1734</v>
      </c>
      <c r="J119" s="46" t="s">
        <v>1735</v>
      </c>
      <c r="K119" s="46" t="s">
        <v>1736</v>
      </c>
      <c r="L119" s="46" t="s">
        <v>1737</v>
      </c>
      <c r="M119" s="46" t="s">
        <v>1738</v>
      </c>
      <c r="N119" s="46" t="s">
        <v>1739</v>
      </c>
      <c r="O119" s="46" t="s">
        <v>1740</v>
      </c>
    </row>
    <row r="120" spans="2:15">
      <c r="B120" s="46" t="s">
        <v>112</v>
      </c>
      <c r="C120" s="46" t="s">
        <v>4837</v>
      </c>
      <c r="D120" s="46" t="s">
        <v>3498</v>
      </c>
      <c r="H120" s="46" t="s">
        <v>1095</v>
      </c>
      <c r="I120" s="46" t="s">
        <v>1741</v>
      </c>
      <c r="J120" s="46" t="s">
        <v>1742</v>
      </c>
      <c r="K120" s="46" t="s">
        <v>1743</v>
      </c>
      <c r="L120" s="46" t="s">
        <v>1744</v>
      </c>
      <c r="M120" s="46" t="s">
        <v>1745</v>
      </c>
      <c r="N120" s="46" t="s">
        <v>1746</v>
      </c>
      <c r="O120" s="46" t="s">
        <v>1747</v>
      </c>
    </row>
    <row r="121" spans="2:15">
      <c r="B121" s="46" t="s">
        <v>113</v>
      </c>
      <c r="C121" s="46" t="s">
        <v>4838</v>
      </c>
      <c r="D121" s="46" t="s">
        <v>3508</v>
      </c>
      <c r="H121" s="46" t="s">
        <v>1095</v>
      </c>
      <c r="I121" s="46" t="s">
        <v>1748</v>
      </c>
      <c r="J121" s="46" t="s">
        <v>1749</v>
      </c>
      <c r="K121" s="46" t="s">
        <v>1750</v>
      </c>
      <c r="L121" s="46" t="s">
        <v>1751</v>
      </c>
      <c r="M121" s="46" t="s">
        <v>1752</v>
      </c>
      <c r="N121" s="46" t="s">
        <v>1753</v>
      </c>
      <c r="O121" s="46" t="s">
        <v>1754</v>
      </c>
    </row>
    <row r="122" spans="2:15">
      <c r="B122" s="46" t="s">
        <v>114</v>
      </c>
      <c r="C122" s="46" t="s">
        <v>4839</v>
      </c>
      <c r="D122" s="46" t="s">
        <v>3518</v>
      </c>
      <c r="H122" s="46" t="s">
        <v>1095</v>
      </c>
      <c r="I122" s="46" t="s">
        <v>1755</v>
      </c>
      <c r="J122" s="46" t="s">
        <v>1756</v>
      </c>
      <c r="K122" s="46" t="s">
        <v>1757</v>
      </c>
      <c r="L122" s="46" t="s">
        <v>1758</v>
      </c>
      <c r="M122" s="46" t="s">
        <v>1759</v>
      </c>
      <c r="N122" s="46" t="s">
        <v>1760</v>
      </c>
      <c r="O122" s="46" t="s">
        <v>1761</v>
      </c>
    </row>
    <row r="123" spans="2:15">
      <c r="B123" s="46" t="s">
        <v>115</v>
      </c>
      <c r="C123" s="46" t="s">
        <v>4840</v>
      </c>
      <c r="D123" s="46" t="s">
        <v>3528</v>
      </c>
      <c r="H123" s="46" t="s">
        <v>1095</v>
      </c>
      <c r="I123" s="46" t="s">
        <v>1762</v>
      </c>
      <c r="J123" s="46" t="s">
        <v>1763</v>
      </c>
      <c r="K123" s="46" t="s">
        <v>1764</v>
      </c>
      <c r="L123" s="46" t="s">
        <v>1765</v>
      </c>
      <c r="M123" s="46" t="s">
        <v>1766</v>
      </c>
      <c r="N123" s="46" t="s">
        <v>1767</v>
      </c>
      <c r="O123" s="46" t="s">
        <v>1768</v>
      </c>
    </row>
    <row r="124" spans="2:15">
      <c r="B124" s="46" t="s">
        <v>116</v>
      </c>
      <c r="C124" s="46" t="s">
        <v>4841</v>
      </c>
      <c r="D124" s="46" t="s">
        <v>3538</v>
      </c>
      <c r="H124" s="46" t="s">
        <v>1095</v>
      </c>
      <c r="I124" s="46" t="s">
        <v>1769</v>
      </c>
      <c r="J124" s="46" t="s">
        <v>1770</v>
      </c>
      <c r="K124" s="46" t="s">
        <v>1771</v>
      </c>
      <c r="L124" s="46" t="s">
        <v>1772</v>
      </c>
      <c r="M124" s="46" t="s">
        <v>1773</v>
      </c>
      <c r="N124" s="46" t="s">
        <v>1774</v>
      </c>
      <c r="O124" s="46" t="s">
        <v>1775</v>
      </c>
    </row>
    <row r="125" spans="2:15">
      <c r="B125" s="46" t="s">
        <v>117</v>
      </c>
      <c r="C125" s="46" t="s">
        <v>4842</v>
      </c>
      <c r="D125" s="46" t="s">
        <v>3548</v>
      </c>
      <c r="H125" s="46" t="s">
        <v>1095</v>
      </c>
      <c r="I125" s="46" t="s">
        <v>1776</v>
      </c>
      <c r="J125" s="46" t="s">
        <v>1777</v>
      </c>
      <c r="K125" s="46" t="s">
        <v>1778</v>
      </c>
      <c r="L125" s="46" t="s">
        <v>1779</v>
      </c>
      <c r="M125" s="46" t="s">
        <v>1780</v>
      </c>
      <c r="N125" s="46" t="s">
        <v>1781</v>
      </c>
      <c r="O125" s="46" t="s">
        <v>1782</v>
      </c>
    </row>
    <row r="126" spans="2:15">
      <c r="B126" s="46" t="s">
        <v>118</v>
      </c>
      <c r="C126" s="46" t="s">
        <v>4843</v>
      </c>
      <c r="D126" s="46" t="s">
        <v>3558</v>
      </c>
      <c r="H126" s="46" t="s">
        <v>1095</v>
      </c>
      <c r="I126" s="46" t="s">
        <v>1783</v>
      </c>
      <c r="J126" s="46" t="s">
        <v>1784</v>
      </c>
      <c r="K126" s="46" t="s">
        <v>1785</v>
      </c>
      <c r="L126" s="46" t="s">
        <v>1786</v>
      </c>
      <c r="M126" s="46" t="s">
        <v>1787</v>
      </c>
      <c r="N126" s="46" t="s">
        <v>1788</v>
      </c>
      <c r="O126" s="46" t="s">
        <v>1789</v>
      </c>
    </row>
    <row r="127" spans="2:15">
      <c r="B127" s="46" t="s">
        <v>119</v>
      </c>
      <c r="C127" s="46" t="s">
        <v>4844</v>
      </c>
      <c r="D127" s="46" t="s">
        <v>3568</v>
      </c>
      <c r="H127" s="46" t="s">
        <v>1095</v>
      </c>
      <c r="I127" s="46" t="s">
        <v>1790</v>
      </c>
      <c r="J127" s="46" t="s">
        <v>1791</v>
      </c>
      <c r="K127" s="46" t="s">
        <v>1792</v>
      </c>
      <c r="L127" s="46" t="s">
        <v>1793</v>
      </c>
      <c r="M127" s="46" t="s">
        <v>1794</v>
      </c>
      <c r="N127" s="46" t="s">
        <v>1795</v>
      </c>
      <c r="O127" s="46" t="s">
        <v>1796</v>
      </c>
    </row>
    <row r="128" spans="2:15">
      <c r="B128" s="46" t="s">
        <v>120</v>
      </c>
      <c r="C128" s="46" t="s">
        <v>4845</v>
      </c>
      <c r="D128" s="46" t="s">
        <v>3578</v>
      </c>
      <c r="H128" s="46" t="s">
        <v>1095</v>
      </c>
      <c r="I128" s="46" t="s">
        <v>1797</v>
      </c>
      <c r="J128" s="46" t="s">
        <v>1798</v>
      </c>
      <c r="K128" s="46" t="s">
        <v>1799</v>
      </c>
      <c r="L128" s="46" t="s">
        <v>1800</v>
      </c>
      <c r="M128" s="46" t="s">
        <v>1801</v>
      </c>
      <c r="N128" s="46" t="s">
        <v>1802</v>
      </c>
      <c r="O128" s="46" t="s">
        <v>1803</v>
      </c>
    </row>
    <row r="129" spans="2:15">
      <c r="B129" s="46" t="s">
        <v>121</v>
      </c>
      <c r="C129" s="46" t="s">
        <v>4846</v>
      </c>
      <c r="D129" s="46" t="s">
        <v>3588</v>
      </c>
      <c r="H129" s="46" t="s">
        <v>1095</v>
      </c>
      <c r="I129" s="46" t="s">
        <v>1804</v>
      </c>
      <c r="J129" s="46" t="s">
        <v>1805</v>
      </c>
      <c r="K129" s="46" t="s">
        <v>1806</v>
      </c>
      <c r="L129" s="46" t="s">
        <v>1807</v>
      </c>
      <c r="M129" s="46" t="s">
        <v>1808</v>
      </c>
      <c r="N129" s="46" t="s">
        <v>1809</v>
      </c>
      <c r="O129" s="46" t="s">
        <v>1810</v>
      </c>
    </row>
    <row r="130" spans="2:15">
      <c r="B130" s="46" t="s">
        <v>122</v>
      </c>
      <c r="C130" s="46" t="s">
        <v>4847</v>
      </c>
      <c r="D130" s="46" t="s">
        <v>3598</v>
      </c>
      <c r="H130" s="46" t="s">
        <v>1095</v>
      </c>
      <c r="I130" s="46" t="s">
        <v>1811</v>
      </c>
      <c r="J130" s="46" t="s">
        <v>1812</v>
      </c>
      <c r="K130" s="46" t="s">
        <v>1813</v>
      </c>
      <c r="L130" s="46" t="s">
        <v>1814</v>
      </c>
      <c r="M130" s="46" t="s">
        <v>1815</v>
      </c>
      <c r="N130" s="46" t="s">
        <v>1816</v>
      </c>
      <c r="O130" s="46" t="s">
        <v>1817</v>
      </c>
    </row>
    <row r="131" spans="2:15">
      <c r="B131" s="46" t="s">
        <v>123</v>
      </c>
      <c r="C131" s="46" t="s">
        <v>4848</v>
      </c>
      <c r="D131" s="46" t="s">
        <v>3608</v>
      </c>
      <c r="H131" s="46" t="s">
        <v>1095</v>
      </c>
      <c r="I131" s="46" t="s">
        <v>1818</v>
      </c>
      <c r="J131" s="46" t="s">
        <v>1819</v>
      </c>
      <c r="K131" s="46" t="s">
        <v>1820</v>
      </c>
      <c r="L131" s="46" t="s">
        <v>1821</v>
      </c>
      <c r="M131" s="46" t="s">
        <v>1822</v>
      </c>
      <c r="N131" s="46" t="s">
        <v>1823</v>
      </c>
      <c r="O131" s="46" t="s">
        <v>1824</v>
      </c>
    </row>
    <row r="132" spans="2:15">
      <c r="B132" s="46" t="s">
        <v>124</v>
      </c>
      <c r="C132" s="46" t="s">
        <v>4849</v>
      </c>
      <c r="D132" s="46" t="s">
        <v>3618</v>
      </c>
      <c r="H132" s="46" t="s">
        <v>1095</v>
      </c>
      <c r="I132" s="46" t="s">
        <v>1825</v>
      </c>
      <c r="J132" s="46" t="s">
        <v>1826</v>
      </c>
      <c r="K132" s="46" t="s">
        <v>1827</v>
      </c>
      <c r="L132" s="46" t="s">
        <v>1828</v>
      </c>
      <c r="M132" s="46" t="s">
        <v>1829</v>
      </c>
      <c r="N132" s="46" t="s">
        <v>1830</v>
      </c>
      <c r="O132" s="46" t="s">
        <v>1831</v>
      </c>
    </row>
    <row r="133" spans="2:15">
      <c r="B133" s="46" t="s">
        <v>125</v>
      </c>
      <c r="C133" s="46" t="s">
        <v>4850</v>
      </c>
      <c r="D133" s="46" t="s">
        <v>3628</v>
      </c>
      <c r="H133" s="46" t="s">
        <v>1095</v>
      </c>
      <c r="I133" s="46" t="s">
        <v>1832</v>
      </c>
      <c r="J133" s="46" t="s">
        <v>1833</v>
      </c>
      <c r="K133" s="46" t="s">
        <v>1834</v>
      </c>
      <c r="L133" s="46" t="s">
        <v>1835</v>
      </c>
      <c r="M133" s="46" t="s">
        <v>1836</v>
      </c>
      <c r="N133" s="46" t="s">
        <v>1837</v>
      </c>
      <c r="O133" s="46" t="s">
        <v>1838</v>
      </c>
    </row>
    <row r="134" spans="2:15">
      <c r="B134" s="46" t="s">
        <v>126</v>
      </c>
      <c r="C134" s="46" t="s">
        <v>4851</v>
      </c>
      <c r="D134" s="46" t="s">
        <v>3638</v>
      </c>
      <c r="H134" s="46" t="s">
        <v>1095</v>
      </c>
      <c r="I134" s="46" t="s">
        <v>1839</v>
      </c>
      <c r="J134" s="46" t="s">
        <v>1840</v>
      </c>
      <c r="K134" s="46" t="s">
        <v>1841</v>
      </c>
      <c r="L134" s="46" t="s">
        <v>1842</v>
      </c>
      <c r="M134" s="46" t="s">
        <v>1843</v>
      </c>
      <c r="N134" s="46" t="s">
        <v>1844</v>
      </c>
      <c r="O134" s="46" t="s">
        <v>1845</v>
      </c>
    </row>
    <row r="135" spans="2:15">
      <c r="B135" s="46" t="s">
        <v>127</v>
      </c>
      <c r="C135" s="46" t="s">
        <v>4852</v>
      </c>
      <c r="D135" s="46" t="s">
        <v>3648</v>
      </c>
      <c r="H135" s="46" t="s">
        <v>1095</v>
      </c>
      <c r="I135" s="46" t="s">
        <v>1846</v>
      </c>
      <c r="J135" s="46" t="s">
        <v>1847</v>
      </c>
      <c r="K135" s="46" t="s">
        <v>1848</v>
      </c>
      <c r="L135" s="46" t="s">
        <v>1849</v>
      </c>
      <c r="M135" s="46" t="s">
        <v>1850</v>
      </c>
      <c r="N135" s="46" t="s">
        <v>1851</v>
      </c>
      <c r="O135" s="46" t="s">
        <v>1852</v>
      </c>
    </row>
    <row r="136" spans="2:15">
      <c r="B136" s="46" t="s">
        <v>128</v>
      </c>
      <c r="C136" s="46" t="s">
        <v>4853</v>
      </c>
      <c r="D136" s="46" t="s">
        <v>3658</v>
      </c>
      <c r="H136" s="46" t="s">
        <v>1095</v>
      </c>
      <c r="I136" s="46" t="s">
        <v>1853</v>
      </c>
      <c r="J136" s="46" t="s">
        <v>1854</v>
      </c>
      <c r="K136" s="46" t="s">
        <v>1855</v>
      </c>
      <c r="L136" s="46" t="s">
        <v>1856</v>
      </c>
      <c r="M136" s="46" t="s">
        <v>1857</v>
      </c>
      <c r="N136" s="46" t="s">
        <v>1858</v>
      </c>
      <c r="O136" s="46" t="s">
        <v>1859</v>
      </c>
    </row>
    <row r="137" spans="2:15">
      <c r="B137" s="46" t="s">
        <v>129</v>
      </c>
      <c r="C137" s="46" t="s">
        <v>4854</v>
      </c>
      <c r="D137" s="46" t="s">
        <v>3668</v>
      </c>
      <c r="H137" s="46" t="s">
        <v>1095</v>
      </c>
      <c r="I137" s="46" t="s">
        <v>1860</v>
      </c>
      <c r="J137" s="46" t="s">
        <v>1861</v>
      </c>
      <c r="K137" s="46" t="s">
        <v>1862</v>
      </c>
      <c r="L137" s="46" t="s">
        <v>1863</v>
      </c>
      <c r="M137" s="46" t="s">
        <v>1864</v>
      </c>
      <c r="N137" s="46" t="s">
        <v>1865</v>
      </c>
      <c r="O137" s="46" t="s">
        <v>1866</v>
      </c>
    </row>
    <row r="138" spans="2:15">
      <c r="B138" s="46" t="s">
        <v>130</v>
      </c>
      <c r="C138" s="46" t="s">
        <v>4855</v>
      </c>
      <c r="D138" s="46" t="s">
        <v>3678</v>
      </c>
      <c r="H138" s="46" t="s">
        <v>1095</v>
      </c>
      <c r="I138" s="46" t="s">
        <v>1867</v>
      </c>
      <c r="J138" s="46" t="s">
        <v>1868</v>
      </c>
      <c r="K138" s="46" t="s">
        <v>1869</v>
      </c>
      <c r="L138" s="46" t="s">
        <v>1870</v>
      </c>
      <c r="M138" s="46" t="s">
        <v>1871</v>
      </c>
      <c r="N138" s="46" t="s">
        <v>1872</v>
      </c>
      <c r="O138" s="46" t="s">
        <v>1873</v>
      </c>
    </row>
    <row r="139" spans="2:15">
      <c r="B139" s="46" t="s">
        <v>131</v>
      </c>
      <c r="C139" s="46" t="s">
        <v>4856</v>
      </c>
      <c r="D139" s="46" t="s">
        <v>3688</v>
      </c>
      <c r="H139" s="46" t="s">
        <v>1095</v>
      </c>
      <c r="I139" s="46" t="s">
        <v>1874</v>
      </c>
      <c r="J139" s="46" t="s">
        <v>1875</v>
      </c>
      <c r="K139" s="46" t="s">
        <v>1876</v>
      </c>
      <c r="L139" s="46" t="s">
        <v>1877</v>
      </c>
      <c r="M139" s="46" t="s">
        <v>1878</v>
      </c>
      <c r="N139" s="46" t="s">
        <v>1879</v>
      </c>
      <c r="O139" s="46" t="s">
        <v>1880</v>
      </c>
    </row>
    <row r="140" spans="2:15">
      <c r="B140" s="46" t="s">
        <v>132</v>
      </c>
      <c r="C140" s="46" t="s">
        <v>4857</v>
      </c>
      <c r="D140" s="46" t="s">
        <v>3698</v>
      </c>
      <c r="H140" s="46" t="s">
        <v>1095</v>
      </c>
      <c r="I140" s="46" t="s">
        <v>1881</v>
      </c>
      <c r="J140" s="46" t="s">
        <v>1882</v>
      </c>
      <c r="K140" s="46" t="s">
        <v>1883</v>
      </c>
      <c r="L140" s="46" t="s">
        <v>1884</v>
      </c>
      <c r="M140" s="46" t="s">
        <v>1885</v>
      </c>
      <c r="N140" s="46" t="s">
        <v>1886</v>
      </c>
      <c r="O140" s="46" t="s">
        <v>1887</v>
      </c>
    </row>
    <row r="141" spans="2:15">
      <c r="B141" s="46" t="s">
        <v>133</v>
      </c>
      <c r="C141" s="46" t="s">
        <v>4858</v>
      </c>
      <c r="D141" s="46" t="s">
        <v>3708</v>
      </c>
      <c r="H141" s="46" t="s">
        <v>1095</v>
      </c>
      <c r="I141" s="46" t="s">
        <v>1888</v>
      </c>
      <c r="J141" s="46" t="s">
        <v>1889</v>
      </c>
      <c r="K141" s="46" t="s">
        <v>1890</v>
      </c>
      <c r="L141" s="46" t="s">
        <v>1891</v>
      </c>
      <c r="M141" s="46" t="s">
        <v>1892</v>
      </c>
      <c r="N141" s="46" t="s">
        <v>1893</v>
      </c>
      <c r="O141" s="46" t="s">
        <v>1894</v>
      </c>
    </row>
    <row r="142" spans="2:15">
      <c r="B142" s="46" t="s">
        <v>134</v>
      </c>
      <c r="C142" s="46" t="s">
        <v>4859</v>
      </c>
      <c r="D142" s="46" t="s">
        <v>3718</v>
      </c>
      <c r="H142" s="46" t="s">
        <v>1095</v>
      </c>
      <c r="I142" s="46" t="s">
        <v>1895</v>
      </c>
      <c r="J142" s="46" t="s">
        <v>1896</v>
      </c>
      <c r="K142" s="46" t="s">
        <v>1897</v>
      </c>
      <c r="L142" s="46" t="s">
        <v>1898</v>
      </c>
      <c r="M142" s="46" t="s">
        <v>1899</v>
      </c>
      <c r="N142" s="46" t="s">
        <v>1900</v>
      </c>
      <c r="O142" s="46" t="s">
        <v>1901</v>
      </c>
    </row>
    <row r="143" spans="2:15">
      <c r="B143" s="46" t="s">
        <v>135</v>
      </c>
      <c r="C143" s="46" t="s">
        <v>4860</v>
      </c>
      <c r="D143" s="46" t="s">
        <v>3728</v>
      </c>
      <c r="H143" s="46" t="s">
        <v>1095</v>
      </c>
      <c r="I143" s="46" t="s">
        <v>1902</v>
      </c>
      <c r="J143" s="46" t="s">
        <v>1903</v>
      </c>
      <c r="K143" s="46" t="s">
        <v>1904</v>
      </c>
      <c r="L143" s="46" t="s">
        <v>1905</v>
      </c>
      <c r="M143" s="46" t="s">
        <v>1906</v>
      </c>
      <c r="N143" s="46" t="s">
        <v>1907</v>
      </c>
      <c r="O143" s="46" t="s">
        <v>1908</v>
      </c>
    </row>
    <row r="144" spans="2:15">
      <c r="B144" s="46" t="s">
        <v>136</v>
      </c>
      <c r="C144" s="46" t="s">
        <v>4861</v>
      </c>
      <c r="D144" s="46" t="s">
        <v>3738</v>
      </c>
      <c r="H144" s="46" t="s">
        <v>1095</v>
      </c>
      <c r="I144" s="46" t="s">
        <v>1909</v>
      </c>
      <c r="J144" s="46" t="s">
        <v>1910</v>
      </c>
      <c r="K144" s="46" t="s">
        <v>1911</v>
      </c>
      <c r="L144" s="46" t="s">
        <v>1912</v>
      </c>
      <c r="M144" s="46" t="s">
        <v>1913</v>
      </c>
      <c r="N144" s="46" t="s">
        <v>1914</v>
      </c>
      <c r="O144" s="46" t="s">
        <v>1915</v>
      </c>
    </row>
    <row r="145" spans="2:15">
      <c r="B145" s="46" t="s">
        <v>137</v>
      </c>
      <c r="C145" s="46" t="s">
        <v>4862</v>
      </c>
      <c r="D145" s="46" t="s">
        <v>3748</v>
      </c>
      <c r="H145" s="46" t="s">
        <v>1095</v>
      </c>
      <c r="I145" s="46" t="s">
        <v>1916</v>
      </c>
      <c r="J145" s="46" t="s">
        <v>1917</v>
      </c>
      <c r="K145" s="46" t="s">
        <v>1918</v>
      </c>
      <c r="L145" s="46" t="s">
        <v>1919</v>
      </c>
      <c r="M145" s="46" t="s">
        <v>1920</v>
      </c>
      <c r="N145" s="46" t="s">
        <v>1921</v>
      </c>
      <c r="O145" s="46" t="s">
        <v>1922</v>
      </c>
    </row>
    <row r="146" spans="2:15">
      <c r="B146" s="46" t="s">
        <v>138</v>
      </c>
      <c r="C146" s="46" t="s">
        <v>4863</v>
      </c>
      <c r="D146" s="46" t="s">
        <v>3758</v>
      </c>
      <c r="H146" s="46" t="s">
        <v>1095</v>
      </c>
      <c r="I146" s="46" t="s">
        <v>1923</v>
      </c>
      <c r="J146" s="46" t="s">
        <v>1924</v>
      </c>
      <c r="K146" s="46" t="s">
        <v>1925</v>
      </c>
      <c r="L146" s="46" t="s">
        <v>1926</v>
      </c>
      <c r="M146" s="46" t="s">
        <v>1927</v>
      </c>
      <c r="N146" s="46" t="s">
        <v>1928</v>
      </c>
      <c r="O146" s="46" t="s">
        <v>1929</v>
      </c>
    </row>
    <row r="147" spans="2:15">
      <c r="B147" s="46" t="s">
        <v>139</v>
      </c>
      <c r="C147" s="46" t="s">
        <v>4864</v>
      </c>
      <c r="D147" s="46" t="s">
        <v>3768</v>
      </c>
      <c r="H147" s="46" t="s">
        <v>1095</v>
      </c>
      <c r="I147" s="46" t="s">
        <v>1930</v>
      </c>
      <c r="J147" s="46" t="s">
        <v>1931</v>
      </c>
      <c r="K147" s="46" t="s">
        <v>1932</v>
      </c>
      <c r="L147" s="46" t="s">
        <v>1933</v>
      </c>
      <c r="M147" s="46" t="s">
        <v>1934</v>
      </c>
      <c r="N147" s="46" t="s">
        <v>1935</v>
      </c>
      <c r="O147" s="46" t="s">
        <v>1936</v>
      </c>
    </row>
    <row r="148" spans="2:15">
      <c r="B148" s="46" t="s">
        <v>140</v>
      </c>
      <c r="C148" s="46" t="s">
        <v>4865</v>
      </c>
      <c r="D148" s="46" t="s">
        <v>3778</v>
      </c>
      <c r="H148" s="46" t="s">
        <v>1095</v>
      </c>
      <c r="I148" s="46" t="s">
        <v>1937</v>
      </c>
      <c r="J148" s="46" t="s">
        <v>1938</v>
      </c>
      <c r="K148" s="46" t="s">
        <v>1939</v>
      </c>
      <c r="L148" s="46" t="s">
        <v>1940</v>
      </c>
      <c r="M148" s="46" t="s">
        <v>1941</v>
      </c>
      <c r="N148" s="46" t="s">
        <v>1942</v>
      </c>
      <c r="O148" s="46" t="s">
        <v>1943</v>
      </c>
    </row>
    <row r="149" spans="2:15">
      <c r="B149" s="46" t="s">
        <v>141</v>
      </c>
      <c r="C149" s="46" t="s">
        <v>4866</v>
      </c>
      <c r="D149" s="46" t="s">
        <v>3788</v>
      </c>
      <c r="H149" s="46" t="s">
        <v>1095</v>
      </c>
      <c r="I149" s="46" t="s">
        <v>1944</v>
      </c>
      <c r="J149" s="46" t="s">
        <v>1945</v>
      </c>
      <c r="K149" s="46" t="s">
        <v>1946</v>
      </c>
      <c r="L149" s="46" t="s">
        <v>1947</v>
      </c>
      <c r="M149" s="46" t="s">
        <v>1948</v>
      </c>
      <c r="N149" s="46" t="s">
        <v>1949</v>
      </c>
      <c r="O149" s="46" t="s">
        <v>1950</v>
      </c>
    </row>
    <row r="150" spans="2:15">
      <c r="B150" s="46" t="s">
        <v>142</v>
      </c>
      <c r="C150" s="46" t="s">
        <v>4867</v>
      </c>
      <c r="D150" s="46" t="s">
        <v>3798</v>
      </c>
      <c r="H150" s="46" t="s">
        <v>1095</v>
      </c>
      <c r="I150" s="46" t="s">
        <v>1951</v>
      </c>
      <c r="J150" s="46" t="s">
        <v>1952</v>
      </c>
      <c r="K150" s="46" t="s">
        <v>1953</v>
      </c>
      <c r="L150" s="46" t="s">
        <v>1954</v>
      </c>
      <c r="M150" s="46" t="s">
        <v>1955</v>
      </c>
      <c r="N150" s="46" t="s">
        <v>1956</v>
      </c>
      <c r="O150" s="46" t="s">
        <v>1957</v>
      </c>
    </row>
    <row r="151" spans="2:15">
      <c r="B151" s="46" t="s">
        <v>143</v>
      </c>
      <c r="C151" s="46" t="s">
        <v>4868</v>
      </c>
      <c r="D151" s="46" t="s">
        <v>3808</v>
      </c>
      <c r="H151" s="46" t="s">
        <v>1095</v>
      </c>
      <c r="I151" s="46" t="s">
        <v>1958</v>
      </c>
      <c r="J151" s="46" t="s">
        <v>1959</v>
      </c>
      <c r="K151" s="46" t="s">
        <v>1960</v>
      </c>
      <c r="L151" s="46" t="s">
        <v>1961</v>
      </c>
      <c r="M151" s="46" t="s">
        <v>1962</v>
      </c>
      <c r="N151" s="46" t="s">
        <v>1963</v>
      </c>
      <c r="O151" s="46" t="s">
        <v>1964</v>
      </c>
    </row>
    <row r="152" spans="2:15">
      <c r="B152" s="46" t="s">
        <v>144</v>
      </c>
      <c r="C152" s="46" t="s">
        <v>4869</v>
      </c>
      <c r="D152" s="46" t="s">
        <v>3818</v>
      </c>
      <c r="H152" s="46" t="s">
        <v>1095</v>
      </c>
      <c r="I152" s="46" t="s">
        <v>1965</v>
      </c>
      <c r="J152" s="46" t="s">
        <v>1966</v>
      </c>
      <c r="K152" s="46" t="s">
        <v>1967</v>
      </c>
      <c r="L152" s="46" t="s">
        <v>1968</v>
      </c>
      <c r="M152" s="46" t="s">
        <v>1969</v>
      </c>
      <c r="N152" s="46" t="s">
        <v>1970</v>
      </c>
      <c r="O152" s="46" t="s">
        <v>1971</v>
      </c>
    </row>
    <row r="153" spans="2:15">
      <c r="B153" s="46" t="s">
        <v>145</v>
      </c>
      <c r="C153" s="46" t="s">
        <v>4870</v>
      </c>
      <c r="D153" s="46" t="s">
        <v>3828</v>
      </c>
      <c r="H153" s="46" t="s">
        <v>1095</v>
      </c>
      <c r="I153" s="46" t="s">
        <v>1972</v>
      </c>
      <c r="J153" s="46" t="s">
        <v>1973</v>
      </c>
      <c r="K153" s="46" t="s">
        <v>1974</v>
      </c>
      <c r="L153" s="46" t="s">
        <v>1975</v>
      </c>
      <c r="M153" s="46" t="s">
        <v>1976</v>
      </c>
      <c r="N153" s="46" t="s">
        <v>1977</v>
      </c>
      <c r="O153" s="46" t="s">
        <v>1978</v>
      </c>
    </row>
    <row r="154" spans="2:15">
      <c r="B154" s="46" t="s">
        <v>146</v>
      </c>
      <c r="C154" s="46" t="s">
        <v>4871</v>
      </c>
      <c r="D154" s="46" t="s">
        <v>3838</v>
      </c>
      <c r="H154" s="46" t="s">
        <v>1095</v>
      </c>
      <c r="I154" s="46" t="s">
        <v>1979</v>
      </c>
      <c r="J154" s="46" t="s">
        <v>1980</v>
      </c>
      <c r="K154" s="46" t="s">
        <v>1981</v>
      </c>
      <c r="L154" s="46" t="s">
        <v>1982</v>
      </c>
      <c r="M154" s="46" t="s">
        <v>1983</v>
      </c>
      <c r="N154" s="46" t="s">
        <v>1984</v>
      </c>
      <c r="O154" s="46" t="s">
        <v>1985</v>
      </c>
    </row>
    <row r="155" spans="2:15">
      <c r="B155" s="46" t="s">
        <v>147</v>
      </c>
      <c r="C155" s="46" t="s">
        <v>4872</v>
      </c>
      <c r="D155" s="46" t="s">
        <v>3848</v>
      </c>
      <c r="H155" s="46" t="s">
        <v>1095</v>
      </c>
      <c r="I155" s="46" t="s">
        <v>1986</v>
      </c>
      <c r="J155" s="46" t="s">
        <v>1987</v>
      </c>
      <c r="K155" s="46" t="s">
        <v>1988</v>
      </c>
      <c r="L155" s="46" t="s">
        <v>1989</v>
      </c>
      <c r="M155" s="46" t="s">
        <v>1990</v>
      </c>
      <c r="N155" s="46" t="s">
        <v>1991</v>
      </c>
      <c r="O155" s="46" t="s">
        <v>1992</v>
      </c>
    </row>
    <row r="156" spans="2:15">
      <c r="B156" s="46" t="s">
        <v>148</v>
      </c>
      <c r="C156" s="46" t="s">
        <v>4873</v>
      </c>
      <c r="D156" s="46" t="s">
        <v>3858</v>
      </c>
      <c r="H156" s="46" t="s">
        <v>1095</v>
      </c>
      <c r="I156" s="46" t="s">
        <v>1993</v>
      </c>
      <c r="J156" s="46" t="s">
        <v>1994</v>
      </c>
      <c r="K156" s="46" t="s">
        <v>1995</v>
      </c>
      <c r="L156" s="46" t="s">
        <v>1996</v>
      </c>
      <c r="M156" s="46" t="s">
        <v>1997</v>
      </c>
      <c r="N156" s="46" t="s">
        <v>1998</v>
      </c>
      <c r="O156" s="46" t="s">
        <v>1999</v>
      </c>
    </row>
    <row r="157" spans="2:15">
      <c r="B157" s="46" t="s">
        <v>149</v>
      </c>
      <c r="C157" s="46" t="s">
        <v>4874</v>
      </c>
      <c r="D157" s="46" t="s">
        <v>3868</v>
      </c>
      <c r="E157" s="46" t="s">
        <v>27</v>
      </c>
      <c r="F157" s="46" t="s">
        <v>4875</v>
      </c>
      <c r="G157" s="46" t="s">
        <v>4876</v>
      </c>
      <c r="H157" s="46" t="s">
        <v>2000</v>
      </c>
      <c r="I157" s="46" t="s">
        <v>2001</v>
      </c>
      <c r="J157" s="46" t="s">
        <v>2002</v>
      </c>
      <c r="K157" s="46" t="s">
        <v>2003</v>
      </c>
      <c r="L157" s="46" t="s">
        <v>2004</v>
      </c>
      <c r="M157" s="46" t="s">
        <v>2005</v>
      </c>
      <c r="N157" s="46" t="s">
        <v>2006</v>
      </c>
      <c r="O157" s="46" t="s">
        <v>2007</v>
      </c>
    </row>
    <row r="158" spans="2:15">
      <c r="B158" s="46" t="s">
        <v>149</v>
      </c>
      <c r="C158" s="46" t="s">
        <v>4877</v>
      </c>
      <c r="D158" s="46" t="s">
        <v>3878</v>
      </c>
      <c r="E158" s="46" t="s">
        <v>150</v>
      </c>
      <c r="F158" s="46" t="s">
        <v>4878</v>
      </c>
      <c r="G158" s="46" t="s">
        <v>4879</v>
      </c>
      <c r="H158" s="46" t="s">
        <v>2008</v>
      </c>
      <c r="I158" s="46" t="s">
        <v>2009</v>
      </c>
      <c r="J158" s="46" t="s">
        <v>2010</v>
      </c>
      <c r="K158" s="46" t="s">
        <v>2011</v>
      </c>
      <c r="L158" s="46" t="s">
        <v>2012</v>
      </c>
      <c r="M158" s="46" t="s">
        <v>2013</v>
      </c>
      <c r="N158" s="46" t="s">
        <v>2014</v>
      </c>
      <c r="O158" s="46" t="s">
        <v>2015</v>
      </c>
    </row>
    <row r="159" spans="2:15">
      <c r="B159" s="46" t="s">
        <v>149</v>
      </c>
      <c r="C159" s="46" t="s">
        <v>4880</v>
      </c>
      <c r="D159" s="46" t="s">
        <v>3888</v>
      </c>
      <c r="O159" s="46" t="s">
        <v>2016</v>
      </c>
    </row>
    <row r="160" spans="2:15">
      <c r="B160" s="46" t="s">
        <v>151</v>
      </c>
      <c r="C160" s="46" t="s">
        <v>4881</v>
      </c>
      <c r="D160" s="46" t="s">
        <v>3898</v>
      </c>
      <c r="E160" s="46" t="s">
        <v>27</v>
      </c>
      <c r="F160" s="46" t="s">
        <v>4882</v>
      </c>
      <c r="G160" s="46" t="s">
        <v>4883</v>
      </c>
      <c r="H160" s="46" t="s">
        <v>2017</v>
      </c>
      <c r="I160" s="46" t="s">
        <v>2018</v>
      </c>
      <c r="J160" s="46" t="s">
        <v>2019</v>
      </c>
      <c r="K160" s="46" t="s">
        <v>2020</v>
      </c>
      <c r="L160" s="46" t="s">
        <v>2021</v>
      </c>
      <c r="M160" s="46" t="s">
        <v>2022</v>
      </c>
      <c r="N160" s="46" t="s">
        <v>2023</v>
      </c>
      <c r="O160" s="46" t="s">
        <v>2024</v>
      </c>
    </row>
    <row r="161" spans="2:15">
      <c r="B161" s="46" t="s">
        <v>151</v>
      </c>
      <c r="C161" s="46" t="s">
        <v>4884</v>
      </c>
      <c r="D161" s="46" t="s">
        <v>3908</v>
      </c>
      <c r="E161" s="46" t="s">
        <v>152</v>
      </c>
      <c r="F161" s="46" t="s">
        <v>4885</v>
      </c>
      <c r="G161" s="46" t="s">
        <v>4886</v>
      </c>
      <c r="H161" s="46" t="s">
        <v>2025</v>
      </c>
      <c r="I161" s="46" t="s">
        <v>2026</v>
      </c>
      <c r="J161" s="46" t="s">
        <v>2027</v>
      </c>
      <c r="K161" s="46" t="s">
        <v>2028</v>
      </c>
      <c r="L161" s="46" t="s">
        <v>2029</v>
      </c>
      <c r="M161" s="46" t="s">
        <v>2030</v>
      </c>
      <c r="N161" s="46" t="s">
        <v>2031</v>
      </c>
      <c r="O161" s="46" t="s">
        <v>2032</v>
      </c>
    </row>
    <row r="162" spans="2:15">
      <c r="B162" s="46" t="s">
        <v>151</v>
      </c>
      <c r="C162" s="46" t="s">
        <v>4887</v>
      </c>
      <c r="D162" s="46" t="s">
        <v>3918</v>
      </c>
      <c r="O162" s="46" t="s">
        <v>2033</v>
      </c>
    </row>
    <row r="163" spans="2:15">
      <c r="B163" s="46" t="s">
        <v>153</v>
      </c>
      <c r="C163" s="46" t="s">
        <v>4888</v>
      </c>
      <c r="D163" s="46" t="s">
        <v>3928</v>
      </c>
      <c r="E163" s="46" t="s">
        <v>27</v>
      </c>
      <c r="F163" s="46" t="s">
        <v>4889</v>
      </c>
      <c r="G163" s="46" t="s">
        <v>4890</v>
      </c>
      <c r="H163" s="46" t="s">
        <v>2034</v>
      </c>
      <c r="I163" s="46" t="s">
        <v>2035</v>
      </c>
      <c r="J163" s="46" t="s">
        <v>2036</v>
      </c>
      <c r="K163" s="46" t="s">
        <v>2037</v>
      </c>
      <c r="L163" s="46" t="s">
        <v>2038</v>
      </c>
      <c r="M163" s="46" t="s">
        <v>2039</v>
      </c>
      <c r="N163" s="46" t="s">
        <v>2040</v>
      </c>
      <c r="O163" s="46" t="s">
        <v>2041</v>
      </c>
    </row>
    <row r="164" spans="2:15">
      <c r="B164" s="46" t="s">
        <v>153</v>
      </c>
      <c r="C164" s="46" t="s">
        <v>4891</v>
      </c>
      <c r="D164" s="46" t="s">
        <v>3938</v>
      </c>
      <c r="E164" s="46" t="s">
        <v>154</v>
      </c>
      <c r="F164" s="46" t="s">
        <v>4892</v>
      </c>
      <c r="G164" s="46" t="s">
        <v>4893</v>
      </c>
      <c r="H164" s="46" t="s">
        <v>2042</v>
      </c>
      <c r="I164" s="46" t="s">
        <v>2043</v>
      </c>
      <c r="J164" s="46" t="s">
        <v>2044</v>
      </c>
      <c r="K164" s="46" t="s">
        <v>2045</v>
      </c>
      <c r="L164" s="46" t="s">
        <v>2046</v>
      </c>
      <c r="M164" s="46" t="s">
        <v>2047</v>
      </c>
      <c r="N164" s="46" t="s">
        <v>2048</v>
      </c>
      <c r="O164" s="46" t="s">
        <v>2049</v>
      </c>
    </row>
    <row r="165" spans="2:15">
      <c r="B165" s="46" t="s">
        <v>153</v>
      </c>
      <c r="C165" s="46" t="s">
        <v>4894</v>
      </c>
      <c r="D165" s="46" t="s">
        <v>3948</v>
      </c>
      <c r="O165" s="46" t="s">
        <v>2050</v>
      </c>
    </row>
    <row r="166" spans="2:15">
      <c r="B166" s="46" t="s">
        <v>155</v>
      </c>
      <c r="C166" s="46" t="s">
        <v>4895</v>
      </c>
      <c r="D166" s="46" t="s">
        <v>3958</v>
      </c>
      <c r="E166" s="46" t="s">
        <v>27</v>
      </c>
      <c r="F166" s="46" t="s">
        <v>4896</v>
      </c>
      <c r="G166" s="46" t="s">
        <v>4897</v>
      </c>
      <c r="H166" s="46" t="s">
        <v>2051</v>
      </c>
      <c r="I166" s="46" t="s">
        <v>2052</v>
      </c>
      <c r="J166" s="46" t="s">
        <v>2053</v>
      </c>
      <c r="K166" s="46" t="s">
        <v>2054</v>
      </c>
      <c r="L166" s="46" t="s">
        <v>2055</v>
      </c>
      <c r="M166" s="46" t="s">
        <v>2056</v>
      </c>
      <c r="N166" s="46" t="s">
        <v>2057</v>
      </c>
      <c r="O166" s="46" t="s">
        <v>2058</v>
      </c>
    </row>
    <row r="167" spans="2:15">
      <c r="B167" s="46" t="s">
        <v>155</v>
      </c>
      <c r="C167" s="46" t="s">
        <v>4898</v>
      </c>
      <c r="D167" s="46" t="s">
        <v>3968</v>
      </c>
      <c r="E167" s="46" t="s">
        <v>156</v>
      </c>
      <c r="F167" s="46" t="s">
        <v>4899</v>
      </c>
      <c r="G167" s="46" t="s">
        <v>4900</v>
      </c>
      <c r="H167" s="46" t="s">
        <v>2059</v>
      </c>
      <c r="I167" s="46" t="s">
        <v>2060</v>
      </c>
      <c r="J167" s="46" t="s">
        <v>2061</v>
      </c>
      <c r="K167" s="46" t="s">
        <v>2062</v>
      </c>
      <c r="L167" s="46" t="s">
        <v>2063</v>
      </c>
      <c r="M167" s="46" t="s">
        <v>2064</v>
      </c>
      <c r="N167" s="46" t="s">
        <v>2065</v>
      </c>
      <c r="O167" s="46" t="s">
        <v>2066</v>
      </c>
    </row>
    <row r="168" spans="2:15">
      <c r="B168" s="46" t="s">
        <v>155</v>
      </c>
      <c r="C168" s="46" t="s">
        <v>4901</v>
      </c>
      <c r="D168" s="46" t="s">
        <v>3978</v>
      </c>
      <c r="O168" s="46" t="s">
        <v>2067</v>
      </c>
    </row>
    <row r="169" spans="2:15">
      <c r="B169" s="46" t="s">
        <v>157</v>
      </c>
      <c r="C169" s="46" t="s">
        <v>4902</v>
      </c>
      <c r="D169" s="46" t="s">
        <v>3988</v>
      </c>
      <c r="E169" s="46" t="s">
        <v>27</v>
      </c>
      <c r="F169" s="46" t="s">
        <v>4903</v>
      </c>
      <c r="G169" s="46" t="s">
        <v>4904</v>
      </c>
      <c r="H169" s="46" t="s">
        <v>2068</v>
      </c>
      <c r="I169" s="46" t="s">
        <v>2069</v>
      </c>
      <c r="J169" s="46" t="s">
        <v>2070</v>
      </c>
      <c r="K169" s="46" t="s">
        <v>2071</v>
      </c>
      <c r="L169" s="46" t="s">
        <v>2072</v>
      </c>
      <c r="M169" s="46" t="s">
        <v>2073</v>
      </c>
      <c r="N169" s="46" t="s">
        <v>2074</v>
      </c>
      <c r="O169" s="46" t="s">
        <v>2075</v>
      </c>
    </row>
    <row r="170" spans="2:15">
      <c r="B170" s="46" t="s">
        <v>157</v>
      </c>
      <c r="C170" s="46" t="s">
        <v>4905</v>
      </c>
      <c r="D170" s="46" t="s">
        <v>3998</v>
      </c>
      <c r="E170" s="46" t="s">
        <v>158</v>
      </c>
      <c r="F170" s="46" t="s">
        <v>4906</v>
      </c>
      <c r="G170" s="46" t="s">
        <v>4907</v>
      </c>
      <c r="H170" s="46" t="s">
        <v>2076</v>
      </c>
      <c r="I170" s="46" t="s">
        <v>2077</v>
      </c>
      <c r="J170" s="46" t="s">
        <v>2078</v>
      </c>
      <c r="K170" s="46" t="s">
        <v>2079</v>
      </c>
      <c r="L170" s="46" t="s">
        <v>2080</v>
      </c>
      <c r="M170" s="46" t="s">
        <v>2081</v>
      </c>
      <c r="N170" s="46" t="s">
        <v>2082</v>
      </c>
      <c r="O170" s="46" t="s">
        <v>2083</v>
      </c>
    </row>
    <row r="171" spans="2:15">
      <c r="B171" s="46" t="s">
        <v>157</v>
      </c>
      <c r="C171" s="46" t="s">
        <v>4908</v>
      </c>
      <c r="D171" s="46" t="s">
        <v>4008</v>
      </c>
      <c r="O171" s="46" t="s">
        <v>2084</v>
      </c>
    </row>
    <row r="172" spans="2:15">
      <c r="B172" s="46" t="s">
        <v>159</v>
      </c>
      <c r="C172" s="46" t="s">
        <v>4909</v>
      </c>
      <c r="D172" s="46" t="s">
        <v>4018</v>
      </c>
      <c r="E172" s="46" t="s">
        <v>27</v>
      </c>
      <c r="F172" s="46" t="s">
        <v>4910</v>
      </c>
      <c r="G172" s="46" t="s">
        <v>4911</v>
      </c>
      <c r="H172" s="46" t="s">
        <v>2085</v>
      </c>
      <c r="I172" s="46" t="s">
        <v>2086</v>
      </c>
      <c r="J172" s="46" t="s">
        <v>2087</v>
      </c>
      <c r="K172" s="46" t="s">
        <v>2088</v>
      </c>
      <c r="L172" s="46" t="s">
        <v>2089</v>
      </c>
      <c r="M172" s="46" t="s">
        <v>2090</v>
      </c>
      <c r="N172" s="46" t="s">
        <v>2091</v>
      </c>
      <c r="O172" s="46" t="s">
        <v>2092</v>
      </c>
    </row>
    <row r="173" spans="2:15">
      <c r="B173" s="46" t="s">
        <v>159</v>
      </c>
      <c r="C173" s="46" t="s">
        <v>4912</v>
      </c>
      <c r="D173" s="46" t="s">
        <v>4028</v>
      </c>
      <c r="E173" s="46" t="s">
        <v>160</v>
      </c>
      <c r="F173" s="46" t="s">
        <v>4913</v>
      </c>
      <c r="G173" s="46" t="s">
        <v>4914</v>
      </c>
      <c r="H173" s="46" t="s">
        <v>2093</v>
      </c>
      <c r="I173" s="46" t="s">
        <v>2094</v>
      </c>
      <c r="J173" s="46" t="s">
        <v>2095</v>
      </c>
      <c r="K173" s="46" t="s">
        <v>2096</v>
      </c>
      <c r="L173" s="46" t="s">
        <v>2097</v>
      </c>
      <c r="M173" s="46" t="s">
        <v>2098</v>
      </c>
      <c r="N173" s="46" t="s">
        <v>2099</v>
      </c>
      <c r="O173" s="46" t="s">
        <v>2100</v>
      </c>
    </row>
    <row r="174" spans="2:15">
      <c r="B174" s="46" t="s">
        <v>159</v>
      </c>
      <c r="C174" s="46" t="s">
        <v>4915</v>
      </c>
      <c r="D174" s="46" t="s">
        <v>4038</v>
      </c>
      <c r="O174" s="46" t="s">
        <v>2101</v>
      </c>
    </row>
    <row r="175" spans="2:15">
      <c r="B175" s="46" t="s">
        <v>161</v>
      </c>
      <c r="C175" s="46" t="s">
        <v>4916</v>
      </c>
      <c r="D175" s="46" t="s">
        <v>4048</v>
      </c>
      <c r="E175" s="46" t="s">
        <v>150</v>
      </c>
      <c r="F175" s="46" t="s">
        <v>4917</v>
      </c>
      <c r="G175" s="46" t="s">
        <v>4918</v>
      </c>
      <c r="H175" s="46" t="s">
        <v>2102</v>
      </c>
      <c r="I175" s="46" t="s">
        <v>2103</v>
      </c>
      <c r="J175" s="46" t="s">
        <v>2104</v>
      </c>
      <c r="K175" s="46" t="s">
        <v>2105</v>
      </c>
      <c r="L175" s="46" t="s">
        <v>2106</v>
      </c>
      <c r="M175" s="46" t="s">
        <v>2107</v>
      </c>
      <c r="N175" s="46" t="s">
        <v>2108</v>
      </c>
      <c r="O175" s="46" t="s">
        <v>2109</v>
      </c>
    </row>
    <row r="176" spans="2:15">
      <c r="B176" s="46" t="s">
        <v>161</v>
      </c>
      <c r="C176" s="46" t="s">
        <v>4919</v>
      </c>
      <c r="D176" s="46" t="s">
        <v>4058</v>
      </c>
      <c r="E176" s="46" t="s">
        <v>162</v>
      </c>
      <c r="F176" s="46" t="s">
        <v>4920</v>
      </c>
      <c r="G176" s="46" t="s">
        <v>4921</v>
      </c>
      <c r="H176" s="46" t="s">
        <v>2110</v>
      </c>
      <c r="I176" s="46" t="s">
        <v>2111</v>
      </c>
      <c r="J176" s="46" t="s">
        <v>2112</v>
      </c>
      <c r="K176" s="46" t="s">
        <v>2113</v>
      </c>
      <c r="L176" s="46" t="s">
        <v>2114</v>
      </c>
      <c r="M176" s="46" t="s">
        <v>2115</v>
      </c>
      <c r="N176" s="46" t="s">
        <v>2116</v>
      </c>
      <c r="O176" s="46" t="s">
        <v>2117</v>
      </c>
    </row>
    <row r="177" spans="2:15">
      <c r="B177" s="46" t="s">
        <v>161</v>
      </c>
      <c r="C177" s="46" t="s">
        <v>4922</v>
      </c>
      <c r="D177" s="46" t="s">
        <v>4068</v>
      </c>
      <c r="O177" s="46" t="s">
        <v>2118</v>
      </c>
    </row>
    <row r="178" spans="2:15">
      <c r="B178" s="46" t="s">
        <v>163</v>
      </c>
      <c r="C178" s="46" t="s">
        <v>4923</v>
      </c>
      <c r="D178" s="46" t="s">
        <v>4078</v>
      </c>
      <c r="E178" s="46" t="s">
        <v>154</v>
      </c>
      <c r="F178" s="46" t="s">
        <v>4924</v>
      </c>
      <c r="G178" s="46" t="s">
        <v>4925</v>
      </c>
      <c r="H178" s="46" t="s">
        <v>2119</v>
      </c>
      <c r="I178" s="46" t="s">
        <v>2120</v>
      </c>
      <c r="J178" s="46" t="s">
        <v>2121</v>
      </c>
      <c r="K178" s="46" t="s">
        <v>2122</v>
      </c>
      <c r="L178" s="46" t="s">
        <v>2123</v>
      </c>
      <c r="M178" s="46" t="s">
        <v>2124</v>
      </c>
      <c r="N178" s="46" t="s">
        <v>2125</v>
      </c>
      <c r="O178" s="46" t="s">
        <v>2126</v>
      </c>
    </row>
    <row r="179" spans="2:15">
      <c r="B179" s="46" t="s">
        <v>163</v>
      </c>
      <c r="C179" s="46" t="s">
        <v>4926</v>
      </c>
      <c r="D179" s="46" t="s">
        <v>4088</v>
      </c>
      <c r="E179" s="46" t="s">
        <v>162</v>
      </c>
      <c r="F179" s="46" t="s">
        <v>4927</v>
      </c>
      <c r="G179" s="46" t="s">
        <v>4928</v>
      </c>
      <c r="H179" s="46" t="s">
        <v>2127</v>
      </c>
      <c r="I179" s="46" t="s">
        <v>2128</v>
      </c>
      <c r="J179" s="46" t="s">
        <v>2129</v>
      </c>
      <c r="K179" s="46" t="s">
        <v>2130</v>
      </c>
      <c r="L179" s="46" t="s">
        <v>2131</v>
      </c>
      <c r="M179" s="46" t="s">
        <v>2132</v>
      </c>
      <c r="N179" s="46" t="s">
        <v>2133</v>
      </c>
      <c r="O179" s="46" t="s">
        <v>2134</v>
      </c>
    </row>
    <row r="180" spans="2:15">
      <c r="B180" s="46" t="s">
        <v>163</v>
      </c>
      <c r="C180" s="46" t="s">
        <v>4929</v>
      </c>
      <c r="D180" s="46" t="s">
        <v>4098</v>
      </c>
      <c r="M180" s="46" t="s">
        <v>2135</v>
      </c>
      <c r="N180" s="46" t="s">
        <v>2136</v>
      </c>
      <c r="O180" s="46" t="s">
        <v>2137</v>
      </c>
    </row>
    <row r="181" spans="2:15">
      <c r="B181" s="46" t="s">
        <v>164</v>
      </c>
      <c r="C181" s="46" t="s">
        <v>4930</v>
      </c>
      <c r="D181" s="46" t="s">
        <v>4108</v>
      </c>
      <c r="E181" s="46" t="s">
        <v>158</v>
      </c>
      <c r="F181" s="46" t="s">
        <v>4931</v>
      </c>
      <c r="G181" s="46" t="s">
        <v>4932</v>
      </c>
      <c r="H181" s="46" t="s">
        <v>2138</v>
      </c>
      <c r="I181" s="46" t="s">
        <v>2139</v>
      </c>
      <c r="J181" s="46" t="s">
        <v>2140</v>
      </c>
      <c r="K181" s="46" t="s">
        <v>2141</v>
      </c>
      <c r="L181" s="46" t="s">
        <v>2142</v>
      </c>
      <c r="M181" s="46" t="s">
        <v>2143</v>
      </c>
      <c r="N181" s="46" t="s">
        <v>2144</v>
      </c>
      <c r="O181" s="46" t="s">
        <v>2145</v>
      </c>
    </row>
    <row r="182" spans="2:15">
      <c r="B182" s="46" t="s">
        <v>164</v>
      </c>
      <c r="C182" s="46" t="s">
        <v>4933</v>
      </c>
      <c r="D182" s="46" t="s">
        <v>4118</v>
      </c>
      <c r="E182" s="46" t="s">
        <v>162</v>
      </c>
      <c r="F182" s="46" t="s">
        <v>4934</v>
      </c>
      <c r="G182" s="46" t="s">
        <v>4935</v>
      </c>
      <c r="H182" s="46" t="s">
        <v>2146</v>
      </c>
      <c r="I182" s="46" t="s">
        <v>2147</v>
      </c>
      <c r="J182" s="46" t="s">
        <v>2148</v>
      </c>
      <c r="K182" s="46" t="s">
        <v>2149</v>
      </c>
      <c r="L182" s="46" t="s">
        <v>2150</v>
      </c>
      <c r="M182" s="46" t="s">
        <v>2151</v>
      </c>
      <c r="N182" s="46" t="s">
        <v>2152</v>
      </c>
      <c r="O182" s="46" t="s">
        <v>2153</v>
      </c>
    </row>
    <row r="183" spans="2:15">
      <c r="B183" s="46" t="s">
        <v>164</v>
      </c>
      <c r="C183" s="46" t="s">
        <v>4936</v>
      </c>
      <c r="D183" s="46" t="s">
        <v>4128</v>
      </c>
      <c r="O183" s="46" t="s">
        <v>2154</v>
      </c>
    </row>
    <row r="184" spans="2:15">
      <c r="B184" s="46" t="s">
        <v>165</v>
      </c>
      <c r="C184" s="46" t="s">
        <v>4937</v>
      </c>
      <c r="D184" s="46" t="s">
        <v>4138</v>
      </c>
      <c r="E184" s="46" t="s">
        <v>109</v>
      </c>
      <c r="F184" s="46" t="s">
        <v>4938</v>
      </c>
      <c r="G184" s="46" t="s">
        <v>4939</v>
      </c>
      <c r="H184" s="46" t="s">
        <v>2155</v>
      </c>
      <c r="I184" s="46" t="s">
        <v>2156</v>
      </c>
      <c r="J184" s="46" t="s">
        <v>2157</v>
      </c>
      <c r="K184" s="46" t="s">
        <v>2158</v>
      </c>
      <c r="L184" s="46" t="s">
        <v>2159</v>
      </c>
      <c r="M184" s="46" t="s">
        <v>2160</v>
      </c>
      <c r="N184" s="46" t="s">
        <v>2161</v>
      </c>
      <c r="O184" s="46" t="s">
        <v>2162</v>
      </c>
    </row>
    <row r="185" spans="2:15">
      <c r="B185" s="46" t="s">
        <v>165</v>
      </c>
      <c r="C185" s="46" t="s">
        <v>4940</v>
      </c>
      <c r="D185" s="46" t="s">
        <v>4148</v>
      </c>
      <c r="E185" s="46" t="s">
        <v>166</v>
      </c>
      <c r="F185" s="46" t="s">
        <v>4941</v>
      </c>
      <c r="G185" s="46" t="s">
        <v>4942</v>
      </c>
      <c r="H185" s="46" t="s">
        <v>2163</v>
      </c>
      <c r="I185" s="46" t="s">
        <v>2164</v>
      </c>
      <c r="J185" s="46" t="s">
        <v>2165</v>
      </c>
      <c r="K185" s="46" t="s">
        <v>2166</v>
      </c>
      <c r="L185" s="46" t="s">
        <v>2167</v>
      </c>
      <c r="M185" s="46" t="s">
        <v>2168</v>
      </c>
      <c r="N185" s="46" t="s">
        <v>2169</v>
      </c>
      <c r="O185" s="46" t="s">
        <v>2170</v>
      </c>
    </row>
    <row r="186" spans="2:15">
      <c r="B186" s="46" t="s">
        <v>165</v>
      </c>
      <c r="C186" s="46" t="s">
        <v>4943</v>
      </c>
      <c r="D186" s="46" t="s">
        <v>4158</v>
      </c>
      <c r="O186" s="46" t="s">
        <v>2171</v>
      </c>
    </row>
    <row r="187" spans="2:15">
      <c r="B187" s="46" t="s">
        <v>167</v>
      </c>
      <c r="C187" s="46" t="s">
        <v>4944</v>
      </c>
      <c r="D187" s="46" t="s">
        <v>4168</v>
      </c>
      <c r="E187" s="46" t="s">
        <v>168</v>
      </c>
      <c r="F187" s="46" t="s">
        <v>4945</v>
      </c>
      <c r="G187" s="46" t="s">
        <v>4946</v>
      </c>
      <c r="H187" s="46" t="s">
        <v>2172</v>
      </c>
      <c r="I187" s="46" t="s">
        <v>2173</v>
      </c>
      <c r="J187" s="46" t="s">
        <v>2174</v>
      </c>
      <c r="K187" s="46" t="s">
        <v>2175</v>
      </c>
      <c r="L187" s="46" t="s">
        <v>2176</v>
      </c>
      <c r="M187" s="46" t="s">
        <v>2177</v>
      </c>
      <c r="N187" s="46" t="s">
        <v>2178</v>
      </c>
      <c r="O187" s="46" t="s">
        <v>2179</v>
      </c>
    </row>
    <row r="188" spans="2:15">
      <c r="B188" s="46" t="s">
        <v>167</v>
      </c>
      <c r="C188" s="46" t="s">
        <v>4947</v>
      </c>
      <c r="D188" s="46" t="s">
        <v>4178</v>
      </c>
      <c r="E188" s="46" t="s">
        <v>169</v>
      </c>
      <c r="F188" s="46" t="s">
        <v>4948</v>
      </c>
      <c r="G188" s="46" t="s">
        <v>4949</v>
      </c>
      <c r="H188" s="46" t="s">
        <v>2180</v>
      </c>
      <c r="I188" s="46" t="s">
        <v>2181</v>
      </c>
      <c r="J188" s="46" t="s">
        <v>2182</v>
      </c>
      <c r="K188" s="46" t="s">
        <v>2183</v>
      </c>
      <c r="L188" s="46" t="s">
        <v>2184</v>
      </c>
      <c r="M188" s="46" t="s">
        <v>2185</v>
      </c>
      <c r="N188" s="46" t="s">
        <v>2186</v>
      </c>
      <c r="O188" s="46" t="s">
        <v>2187</v>
      </c>
    </row>
    <row r="189" spans="2:15">
      <c r="B189" s="46" t="s">
        <v>167</v>
      </c>
      <c r="C189" s="46" t="s">
        <v>4950</v>
      </c>
      <c r="D189" s="46" t="s">
        <v>4188</v>
      </c>
      <c r="E189" s="46" t="s">
        <v>170</v>
      </c>
      <c r="F189" s="46" t="s">
        <v>4951</v>
      </c>
      <c r="G189" s="46" t="s">
        <v>4952</v>
      </c>
      <c r="H189" s="46" t="s">
        <v>1095</v>
      </c>
      <c r="I189" s="46" t="s">
        <v>2188</v>
      </c>
      <c r="J189" s="46" t="s">
        <v>2189</v>
      </c>
      <c r="K189" s="46" t="s">
        <v>2190</v>
      </c>
      <c r="L189" s="46" t="s">
        <v>2191</v>
      </c>
      <c r="M189" s="46" t="s">
        <v>2192</v>
      </c>
      <c r="N189" s="46" t="s">
        <v>2193</v>
      </c>
      <c r="O189" s="46" t="s">
        <v>2194</v>
      </c>
    </row>
    <row r="190" spans="2:15">
      <c r="B190" s="46" t="s">
        <v>167</v>
      </c>
      <c r="C190" s="46" t="s">
        <v>4953</v>
      </c>
      <c r="D190" s="46" t="s">
        <v>4198</v>
      </c>
      <c r="O190" s="46" t="s">
        <v>2195</v>
      </c>
    </row>
    <row r="191" spans="2:15">
      <c r="B191" s="46" t="s">
        <v>171</v>
      </c>
      <c r="C191" s="46" t="s">
        <v>4954</v>
      </c>
      <c r="D191" s="46" t="s">
        <v>4208</v>
      </c>
      <c r="E191" s="46" t="s">
        <v>172</v>
      </c>
      <c r="F191" s="46" t="s">
        <v>4955</v>
      </c>
      <c r="G191" s="46" t="s">
        <v>4956</v>
      </c>
      <c r="H191" s="46" t="s">
        <v>2180</v>
      </c>
      <c r="I191" s="46" t="s">
        <v>2196</v>
      </c>
      <c r="J191" s="46" t="s">
        <v>2197</v>
      </c>
      <c r="K191" s="46" t="s">
        <v>2198</v>
      </c>
      <c r="L191" s="46" t="s">
        <v>2199</v>
      </c>
      <c r="M191" s="46" t="s">
        <v>2200</v>
      </c>
      <c r="N191" s="46" t="s">
        <v>2201</v>
      </c>
      <c r="O191" s="46" t="s">
        <v>2202</v>
      </c>
    </row>
    <row r="192" spans="2:15">
      <c r="B192" s="46" t="s">
        <v>171</v>
      </c>
      <c r="C192" s="46" t="s">
        <v>4957</v>
      </c>
      <c r="D192" s="46" t="s">
        <v>4218</v>
      </c>
      <c r="E192" s="46" t="s">
        <v>173</v>
      </c>
      <c r="F192" s="46" t="s">
        <v>4958</v>
      </c>
      <c r="G192" s="46" t="s">
        <v>4959</v>
      </c>
      <c r="H192" s="46" t="s">
        <v>2203</v>
      </c>
      <c r="I192" s="46" t="s">
        <v>2204</v>
      </c>
      <c r="J192" s="46" t="s">
        <v>2205</v>
      </c>
      <c r="K192" s="46" t="s">
        <v>2206</v>
      </c>
      <c r="L192" s="46" t="s">
        <v>2207</v>
      </c>
      <c r="M192" s="46" t="s">
        <v>2208</v>
      </c>
      <c r="N192" s="46" t="s">
        <v>2209</v>
      </c>
      <c r="O192" s="46" t="s">
        <v>2210</v>
      </c>
    </row>
    <row r="193" spans="2:15">
      <c r="B193" s="46" t="s">
        <v>171</v>
      </c>
      <c r="C193" s="46" t="s">
        <v>4960</v>
      </c>
      <c r="D193" s="46" t="s">
        <v>4228</v>
      </c>
      <c r="E193" s="46" t="s">
        <v>174</v>
      </c>
      <c r="F193" s="46" t="s">
        <v>4961</v>
      </c>
      <c r="G193" s="46" t="s">
        <v>4962</v>
      </c>
      <c r="H193" s="46" t="s">
        <v>2203</v>
      </c>
      <c r="I193" s="46" t="s">
        <v>2211</v>
      </c>
      <c r="J193" s="46" t="s">
        <v>2212</v>
      </c>
      <c r="K193" s="46" t="s">
        <v>2213</v>
      </c>
      <c r="L193" s="46" t="s">
        <v>2214</v>
      </c>
      <c r="M193" s="46" t="s">
        <v>2215</v>
      </c>
      <c r="N193" s="46" t="s">
        <v>2216</v>
      </c>
      <c r="O193" s="46" t="s">
        <v>2217</v>
      </c>
    </row>
    <row r="194" spans="2:15">
      <c r="B194" s="46" t="s">
        <v>171</v>
      </c>
      <c r="C194" s="46" t="s">
        <v>4963</v>
      </c>
      <c r="D194" s="46" t="s">
        <v>4238</v>
      </c>
      <c r="E194" s="46" t="s">
        <v>170</v>
      </c>
      <c r="F194" s="46" t="s">
        <v>4964</v>
      </c>
      <c r="G194" s="46" t="s">
        <v>4965</v>
      </c>
      <c r="H194" s="46" t="s">
        <v>2218</v>
      </c>
      <c r="I194" s="46" t="s">
        <v>2219</v>
      </c>
      <c r="J194" s="46" t="s">
        <v>2220</v>
      </c>
      <c r="K194" s="46" t="s">
        <v>2221</v>
      </c>
      <c r="L194" s="46" t="s">
        <v>2222</v>
      </c>
      <c r="M194" s="46" t="s">
        <v>2223</v>
      </c>
      <c r="N194" s="46" t="s">
        <v>2224</v>
      </c>
      <c r="O194" s="46" t="s">
        <v>2225</v>
      </c>
    </row>
    <row r="195" spans="2:15">
      <c r="B195" s="46" t="s">
        <v>171</v>
      </c>
      <c r="C195" s="46" t="s">
        <v>4966</v>
      </c>
      <c r="D195" s="46" t="s">
        <v>4248</v>
      </c>
      <c r="O195" s="46" t="s">
        <v>2226</v>
      </c>
    </row>
    <row r="196" spans="2:15">
      <c r="B196" s="46" t="s">
        <v>175</v>
      </c>
      <c r="C196" s="46" t="s">
        <v>4967</v>
      </c>
      <c r="D196" s="46" t="s">
        <v>4258</v>
      </c>
      <c r="H196" s="46" t="s">
        <v>1095</v>
      </c>
      <c r="I196" s="46" t="s">
        <v>2227</v>
      </c>
      <c r="J196" s="46" t="s">
        <v>2228</v>
      </c>
      <c r="K196" s="46" t="s">
        <v>2229</v>
      </c>
      <c r="L196" s="46" t="s">
        <v>2230</v>
      </c>
      <c r="M196" s="46" t="s">
        <v>2231</v>
      </c>
      <c r="N196" s="46" t="s">
        <v>2232</v>
      </c>
      <c r="O196" s="46" t="s">
        <v>2233</v>
      </c>
    </row>
    <row r="197" spans="2:15">
      <c r="B197" s="46" t="s">
        <v>176</v>
      </c>
      <c r="C197" s="46" t="s">
        <v>4968</v>
      </c>
      <c r="D197" s="46" t="s">
        <v>4268</v>
      </c>
      <c r="H197" s="46" t="s">
        <v>1095</v>
      </c>
      <c r="I197" s="46" t="s">
        <v>2234</v>
      </c>
      <c r="J197" s="46" t="s">
        <v>2235</v>
      </c>
      <c r="K197" s="46" t="s">
        <v>2236</v>
      </c>
      <c r="L197" s="46" t="s">
        <v>2237</v>
      </c>
      <c r="M197" s="46" t="s">
        <v>2238</v>
      </c>
      <c r="N197" s="46" t="s">
        <v>2239</v>
      </c>
      <c r="O197" s="46" t="s">
        <v>2240</v>
      </c>
    </row>
    <row r="199" spans="2:15">
      <c r="B199" s="46" t="s">
        <v>177</v>
      </c>
    </row>
    <row r="200" spans="2:15">
      <c r="B200" s="46" t="s">
        <v>178</v>
      </c>
      <c r="C200" s="46" t="s">
        <v>4969</v>
      </c>
      <c r="D200" s="46" t="s">
        <v>4298</v>
      </c>
      <c r="E200" s="46" t="s">
        <v>46</v>
      </c>
      <c r="F200" s="46" t="s">
        <v>4970</v>
      </c>
      <c r="G200" s="46" t="s">
        <v>4971</v>
      </c>
      <c r="H200" s="46" t="s">
        <v>4972</v>
      </c>
    </row>
    <row r="201" spans="2:15">
      <c r="B201" s="46" t="s">
        <v>178</v>
      </c>
      <c r="C201" s="46" t="s">
        <v>4973</v>
      </c>
      <c r="D201" s="46" t="s">
        <v>4308</v>
      </c>
      <c r="E201" s="46" t="s">
        <v>28</v>
      </c>
      <c r="F201" s="46" t="s">
        <v>4974</v>
      </c>
      <c r="G201" s="46" t="s">
        <v>4975</v>
      </c>
      <c r="H201" s="46" t="s">
        <v>4976</v>
      </c>
    </row>
    <row r="202" spans="2:15">
      <c r="B202" s="46" t="s">
        <v>178</v>
      </c>
      <c r="C202" s="46" t="s">
        <v>4977</v>
      </c>
      <c r="D202" s="46" t="s">
        <v>4318</v>
      </c>
      <c r="E202" s="46" t="s">
        <v>37</v>
      </c>
      <c r="F202" s="46" t="s">
        <v>4978</v>
      </c>
      <c r="G202" s="46" t="s">
        <v>4979</v>
      </c>
      <c r="H202" s="46" t="s">
        <v>4980</v>
      </c>
    </row>
    <row r="203" spans="2:15">
      <c r="B203" s="46" t="s">
        <v>178</v>
      </c>
      <c r="C203" s="46" t="s">
        <v>4981</v>
      </c>
      <c r="D203" s="46" t="s">
        <v>4328</v>
      </c>
      <c r="E203" s="46" t="s">
        <v>179</v>
      </c>
      <c r="F203" s="46" t="s">
        <v>4982</v>
      </c>
      <c r="G203" s="46" t="s">
        <v>4983</v>
      </c>
      <c r="H203" s="46" t="s">
        <v>4984</v>
      </c>
    </row>
    <row r="204" spans="2:15">
      <c r="B204" s="46" t="s">
        <v>178</v>
      </c>
      <c r="C204" s="46" t="s">
        <v>4985</v>
      </c>
      <c r="D204" s="46" t="s">
        <v>4338</v>
      </c>
    </row>
    <row r="205" spans="2:15">
      <c r="B205" s="46" t="s">
        <v>180</v>
      </c>
      <c r="C205" s="46" t="s">
        <v>4986</v>
      </c>
      <c r="D205" s="46" t="s">
        <v>4348</v>
      </c>
      <c r="E205" s="46" t="s">
        <v>46</v>
      </c>
      <c r="F205" s="46" t="s">
        <v>4987</v>
      </c>
      <c r="G205" s="46" t="s">
        <v>4988</v>
      </c>
      <c r="H205" s="46" t="s">
        <v>4989</v>
      </c>
    </row>
    <row r="206" spans="2:15">
      <c r="B206" s="46" t="s">
        <v>180</v>
      </c>
      <c r="C206" s="46" t="s">
        <v>4990</v>
      </c>
      <c r="D206" s="46" t="s">
        <v>4358</v>
      </c>
      <c r="E206" s="46" t="s">
        <v>28</v>
      </c>
      <c r="F206" s="46" t="s">
        <v>4991</v>
      </c>
      <c r="G206" s="46" t="s">
        <v>4992</v>
      </c>
      <c r="H206" s="46" t="s">
        <v>4993</v>
      </c>
    </row>
    <row r="207" spans="2:15">
      <c r="B207" s="46" t="s">
        <v>180</v>
      </c>
      <c r="C207" s="46" t="s">
        <v>4994</v>
      </c>
      <c r="D207" s="46" t="s">
        <v>4368</v>
      </c>
      <c r="E207" s="46" t="s">
        <v>37</v>
      </c>
      <c r="F207" s="46" t="s">
        <v>4995</v>
      </c>
      <c r="G207" s="46" t="s">
        <v>4996</v>
      </c>
      <c r="H207" s="46" t="s">
        <v>4997</v>
      </c>
    </row>
    <row r="208" spans="2:15">
      <c r="B208" s="46" t="s">
        <v>180</v>
      </c>
      <c r="C208" s="46" t="s">
        <v>4998</v>
      </c>
      <c r="D208" s="46" t="s">
        <v>4378</v>
      </c>
      <c r="E208" s="46" t="s">
        <v>54</v>
      </c>
      <c r="F208" s="46" t="s">
        <v>4999</v>
      </c>
      <c r="G208" s="46" t="s">
        <v>5000</v>
      </c>
      <c r="H208" s="46" t="s">
        <v>5001</v>
      </c>
    </row>
    <row r="209" spans="2:8">
      <c r="B209" s="46" t="s">
        <v>180</v>
      </c>
      <c r="C209" s="46" t="s">
        <v>5002</v>
      </c>
      <c r="D209" s="46" t="s">
        <v>4388</v>
      </c>
      <c r="E209" s="46" t="s">
        <v>181</v>
      </c>
      <c r="F209" s="46" t="s">
        <v>5003</v>
      </c>
      <c r="G209" s="46" t="s">
        <v>5004</v>
      </c>
      <c r="H209" s="46" t="s">
        <v>5005</v>
      </c>
    </row>
    <row r="210" spans="2:8">
      <c r="B210" s="46" t="s">
        <v>180</v>
      </c>
      <c r="C210" s="46" t="s">
        <v>5006</v>
      </c>
      <c r="D210" s="46" t="s">
        <v>4398</v>
      </c>
    </row>
    <row r="211" spans="2:8">
      <c r="B211" s="46" t="s">
        <v>182</v>
      </c>
      <c r="C211" s="46" t="s">
        <v>5007</v>
      </c>
      <c r="D211" s="46" t="s">
        <v>4408</v>
      </c>
      <c r="E211" s="46" t="s">
        <v>54</v>
      </c>
      <c r="F211" s="46" t="s">
        <v>5008</v>
      </c>
      <c r="G211" s="46" t="s">
        <v>5009</v>
      </c>
      <c r="H211" s="46" t="s">
        <v>5010</v>
      </c>
    </row>
    <row r="212" spans="2:8">
      <c r="B212" s="46" t="s">
        <v>182</v>
      </c>
      <c r="C212" s="46" t="s">
        <v>5011</v>
      </c>
      <c r="D212" s="46" t="s">
        <v>4418</v>
      </c>
      <c r="E212" s="46" t="s">
        <v>63</v>
      </c>
      <c r="F212" s="46" t="s">
        <v>5012</v>
      </c>
      <c r="G212" s="46" t="s">
        <v>5013</v>
      </c>
      <c r="H212" s="46" t="s">
        <v>5014</v>
      </c>
    </row>
    <row r="213" spans="2:8">
      <c r="B213" s="46" t="s">
        <v>182</v>
      </c>
      <c r="C213" s="46" t="s">
        <v>5015</v>
      </c>
      <c r="D213" s="46" t="s">
        <v>4428</v>
      </c>
      <c r="E213" s="46" t="s">
        <v>61</v>
      </c>
      <c r="F213" s="46" t="s">
        <v>5016</v>
      </c>
      <c r="G213" s="46" t="s">
        <v>5017</v>
      </c>
      <c r="H213" s="46" t="s">
        <v>5018</v>
      </c>
    </row>
    <row r="214" spans="2:8">
      <c r="B214" s="46" t="s">
        <v>182</v>
      </c>
      <c r="C214" s="46" t="s">
        <v>5019</v>
      </c>
      <c r="D214" s="46" t="s">
        <v>4438</v>
      </c>
      <c r="E214" s="46" t="s">
        <v>179</v>
      </c>
      <c r="F214" s="46" t="s">
        <v>5020</v>
      </c>
      <c r="G214" s="46" t="s">
        <v>5021</v>
      </c>
      <c r="H214" s="46" t="s">
        <v>5022</v>
      </c>
    </row>
    <row r="215" spans="2:8">
      <c r="B215" s="46" t="s">
        <v>182</v>
      </c>
      <c r="C215" s="46" t="s">
        <v>5023</v>
      </c>
      <c r="D215" s="46" t="s">
        <v>4448</v>
      </c>
    </row>
    <row r="216" spans="2:8">
      <c r="B216" s="46" t="s">
        <v>183</v>
      </c>
      <c r="C216" s="46" t="s">
        <v>5024</v>
      </c>
      <c r="D216" s="46" t="s">
        <v>4458</v>
      </c>
      <c r="E216" s="46" t="s">
        <v>46</v>
      </c>
      <c r="F216" s="46" t="s">
        <v>5025</v>
      </c>
      <c r="G216" s="46" t="s">
        <v>5026</v>
      </c>
      <c r="H216" s="46" t="s">
        <v>5027</v>
      </c>
    </row>
    <row r="217" spans="2:8">
      <c r="B217" s="46" t="s">
        <v>183</v>
      </c>
      <c r="C217" s="46" t="s">
        <v>5028</v>
      </c>
      <c r="D217" s="46" t="s">
        <v>4468</v>
      </c>
      <c r="E217" s="46" t="s">
        <v>28</v>
      </c>
      <c r="F217" s="46" t="s">
        <v>5029</v>
      </c>
      <c r="G217" s="46" t="s">
        <v>5030</v>
      </c>
      <c r="H217" s="46" t="s">
        <v>5031</v>
      </c>
    </row>
    <row r="218" spans="2:8">
      <c r="B218" s="46" t="s">
        <v>183</v>
      </c>
      <c r="C218" s="46" t="s">
        <v>5032</v>
      </c>
      <c r="D218" s="46" t="s">
        <v>4478</v>
      </c>
      <c r="E218" s="46" t="s">
        <v>37</v>
      </c>
      <c r="F218" s="46" t="s">
        <v>5033</v>
      </c>
      <c r="G218" s="46" t="s">
        <v>5034</v>
      </c>
      <c r="H218" s="46" t="s">
        <v>5035</v>
      </c>
    </row>
    <row r="219" spans="2:8">
      <c r="B219" s="46" t="s">
        <v>183</v>
      </c>
      <c r="C219" s="46" t="s">
        <v>5036</v>
      </c>
      <c r="D219" s="46" t="s">
        <v>4488</v>
      </c>
      <c r="E219" s="46" t="s">
        <v>181</v>
      </c>
      <c r="F219" s="46" t="s">
        <v>5037</v>
      </c>
      <c r="G219" s="46" t="s">
        <v>5038</v>
      </c>
      <c r="H219" s="46" t="s">
        <v>5039</v>
      </c>
    </row>
    <row r="220" spans="2:8">
      <c r="B220" s="46" t="s">
        <v>183</v>
      </c>
      <c r="C220" s="46" t="s">
        <v>5040</v>
      </c>
      <c r="D220" s="46" t="s">
        <v>4498</v>
      </c>
    </row>
    <row r="221" spans="2:8">
      <c r="B221" s="46" t="s">
        <v>184</v>
      </c>
      <c r="C221" s="46" t="s">
        <v>5041</v>
      </c>
      <c r="D221" s="46" t="s">
        <v>4508</v>
      </c>
      <c r="E221" s="46" t="s">
        <v>48</v>
      </c>
      <c r="F221" s="46" t="s">
        <v>5042</v>
      </c>
      <c r="G221" s="46" t="s">
        <v>5043</v>
      </c>
      <c r="H221" s="46" t="s">
        <v>5044</v>
      </c>
    </row>
    <row r="222" spans="2:8">
      <c r="B222" s="46" t="s">
        <v>184</v>
      </c>
      <c r="C222" s="46" t="s">
        <v>5045</v>
      </c>
      <c r="D222" s="46" t="s">
        <v>4518</v>
      </c>
      <c r="E222" s="46" t="s">
        <v>25</v>
      </c>
      <c r="F222" s="46" t="s">
        <v>5046</v>
      </c>
      <c r="G222" s="46" t="s">
        <v>5047</v>
      </c>
      <c r="H222" s="46" t="s">
        <v>5048</v>
      </c>
    </row>
    <row r="223" spans="2:8">
      <c r="B223" s="46" t="s">
        <v>184</v>
      </c>
      <c r="C223" s="46" t="s">
        <v>5049</v>
      </c>
      <c r="D223" s="46" t="s">
        <v>4528</v>
      </c>
      <c r="E223" s="46" t="s">
        <v>35</v>
      </c>
      <c r="F223" s="46" t="s">
        <v>5050</v>
      </c>
      <c r="G223" s="46" t="s">
        <v>5051</v>
      </c>
      <c r="H223" s="46" t="s">
        <v>5052</v>
      </c>
    </row>
    <row r="224" spans="2:8">
      <c r="B224" s="46" t="s">
        <v>184</v>
      </c>
      <c r="C224" s="46" t="s">
        <v>5053</v>
      </c>
      <c r="D224" s="46" t="s">
        <v>4538</v>
      </c>
      <c r="E224" s="46" t="s">
        <v>179</v>
      </c>
      <c r="F224" s="46" t="s">
        <v>5054</v>
      </c>
      <c r="G224" s="46" t="s">
        <v>5055</v>
      </c>
      <c r="H224" s="46" t="s">
        <v>5056</v>
      </c>
    </row>
    <row r="225" spans="2:8">
      <c r="B225" s="46" t="s">
        <v>184</v>
      </c>
      <c r="C225" s="46" t="s">
        <v>5057</v>
      </c>
      <c r="D225" s="46" t="s">
        <v>4548</v>
      </c>
    </row>
    <row r="226" spans="2:8">
      <c r="B226" s="46" t="s">
        <v>185</v>
      </c>
      <c r="C226" s="46" t="s">
        <v>5058</v>
      </c>
      <c r="D226" s="46" t="s">
        <v>4558</v>
      </c>
      <c r="E226" s="46" t="s">
        <v>48</v>
      </c>
      <c r="F226" s="46" t="s">
        <v>5059</v>
      </c>
      <c r="G226" s="46" t="s">
        <v>5060</v>
      </c>
      <c r="H226" s="46" t="s">
        <v>5061</v>
      </c>
    </row>
    <row r="227" spans="2:8">
      <c r="B227" s="46" t="s">
        <v>185</v>
      </c>
      <c r="C227" s="46" t="s">
        <v>5062</v>
      </c>
      <c r="D227" s="46" t="s">
        <v>4568</v>
      </c>
      <c r="E227" s="46" t="s">
        <v>25</v>
      </c>
      <c r="F227" s="46" t="s">
        <v>5063</v>
      </c>
      <c r="G227" s="46" t="s">
        <v>5064</v>
      </c>
      <c r="H227" s="46" t="s">
        <v>5065</v>
      </c>
    </row>
    <row r="228" spans="2:8">
      <c r="B228" s="46" t="s">
        <v>185</v>
      </c>
      <c r="C228" s="46" t="s">
        <v>5066</v>
      </c>
      <c r="D228" s="46" t="s">
        <v>4578</v>
      </c>
      <c r="E228" s="46" t="s">
        <v>35</v>
      </c>
      <c r="F228" s="46" t="s">
        <v>5067</v>
      </c>
      <c r="G228" s="46" t="s">
        <v>5068</v>
      </c>
      <c r="H228" s="46" t="s">
        <v>5069</v>
      </c>
    </row>
    <row r="229" spans="2:8">
      <c r="B229" s="46" t="s">
        <v>185</v>
      </c>
      <c r="C229" s="46" t="s">
        <v>5070</v>
      </c>
      <c r="D229" s="46" t="s">
        <v>4588</v>
      </c>
      <c r="E229" s="46" t="s">
        <v>57</v>
      </c>
      <c r="F229" s="46" t="s">
        <v>5071</v>
      </c>
      <c r="G229" s="46" t="s">
        <v>5072</v>
      </c>
      <c r="H229" s="46" t="s">
        <v>5073</v>
      </c>
    </row>
    <row r="230" spans="2:8">
      <c r="B230" s="46" t="s">
        <v>185</v>
      </c>
      <c r="C230" s="46" t="s">
        <v>5074</v>
      </c>
      <c r="D230" s="46" t="s">
        <v>4598</v>
      </c>
      <c r="E230" s="46" t="s">
        <v>181</v>
      </c>
      <c r="F230" s="46" t="s">
        <v>5075</v>
      </c>
      <c r="G230" s="46" t="s">
        <v>5076</v>
      </c>
      <c r="H230" s="46" t="s">
        <v>5077</v>
      </c>
    </row>
    <row r="231" spans="2:8">
      <c r="B231" s="46" t="s">
        <v>185</v>
      </c>
      <c r="C231" s="46" t="s">
        <v>5078</v>
      </c>
      <c r="D231" s="46" t="s">
        <v>4608</v>
      </c>
    </row>
    <row r="232" spans="2:8">
      <c r="B232" s="46" t="s">
        <v>186</v>
      </c>
      <c r="C232" s="46" t="s">
        <v>5079</v>
      </c>
      <c r="D232" s="46" t="s">
        <v>4618</v>
      </c>
      <c r="E232" s="46" t="s">
        <v>48</v>
      </c>
      <c r="F232" s="46" t="s">
        <v>5080</v>
      </c>
      <c r="G232" s="46" t="s">
        <v>5081</v>
      </c>
      <c r="H232" s="46" t="s">
        <v>5082</v>
      </c>
    </row>
    <row r="233" spans="2:8">
      <c r="B233" s="46" t="s">
        <v>186</v>
      </c>
      <c r="C233" s="46" t="s">
        <v>5083</v>
      </c>
      <c r="D233" s="46" t="s">
        <v>4628</v>
      </c>
      <c r="E233" s="46" t="s">
        <v>25</v>
      </c>
      <c r="F233" s="46" t="s">
        <v>5084</v>
      </c>
      <c r="G233" s="46" t="s">
        <v>5085</v>
      </c>
      <c r="H233" s="46" t="s">
        <v>5086</v>
      </c>
    </row>
    <row r="234" spans="2:8">
      <c r="B234" s="46" t="s">
        <v>186</v>
      </c>
      <c r="C234" s="46" t="s">
        <v>5087</v>
      </c>
      <c r="D234" s="46" t="s">
        <v>5088</v>
      </c>
      <c r="E234" s="46" t="s">
        <v>35</v>
      </c>
      <c r="F234" s="46" t="s">
        <v>5089</v>
      </c>
      <c r="G234" s="46" t="s">
        <v>5090</v>
      </c>
      <c r="H234" s="46" t="s">
        <v>5091</v>
      </c>
    </row>
    <row r="235" spans="2:8">
      <c r="B235" s="46" t="s">
        <v>186</v>
      </c>
      <c r="C235" s="46" t="s">
        <v>5092</v>
      </c>
      <c r="D235" s="46" t="s">
        <v>5093</v>
      </c>
      <c r="E235" s="46" t="s">
        <v>181</v>
      </c>
      <c r="F235" s="46" t="s">
        <v>5094</v>
      </c>
      <c r="G235" s="46" t="s">
        <v>5095</v>
      </c>
      <c r="H235" s="46" t="s">
        <v>5096</v>
      </c>
    </row>
    <row r="236" spans="2:8">
      <c r="B236" s="46" t="s">
        <v>186</v>
      </c>
      <c r="C236" s="46" t="s">
        <v>5097</v>
      </c>
      <c r="D236" s="46" t="s">
        <v>5098</v>
      </c>
    </row>
    <row r="237" spans="2:8">
      <c r="B237" s="46" t="s">
        <v>187</v>
      </c>
      <c r="C237" s="46" t="s">
        <v>5099</v>
      </c>
      <c r="D237" s="46" t="s">
        <v>5100</v>
      </c>
      <c r="E237" s="46" t="s">
        <v>50</v>
      </c>
      <c r="F237" s="46" t="s">
        <v>5101</v>
      </c>
      <c r="G237" s="46" t="s">
        <v>5102</v>
      </c>
      <c r="H237" s="46" t="s">
        <v>5103</v>
      </c>
    </row>
    <row r="238" spans="2:8">
      <c r="B238" s="46" t="s">
        <v>187</v>
      </c>
      <c r="C238" s="46" t="s">
        <v>5104</v>
      </c>
      <c r="D238" s="46" t="s">
        <v>5105</v>
      </c>
      <c r="E238" s="46" t="s">
        <v>30</v>
      </c>
      <c r="F238" s="46" t="s">
        <v>5106</v>
      </c>
      <c r="G238" s="46" t="s">
        <v>5107</v>
      </c>
      <c r="H238" s="46" t="s">
        <v>5108</v>
      </c>
    </row>
    <row r="239" spans="2:8">
      <c r="B239" s="46" t="s">
        <v>187</v>
      </c>
      <c r="C239" s="46" t="s">
        <v>5109</v>
      </c>
      <c r="D239" s="46" t="s">
        <v>5110</v>
      </c>
      <c r="E239" s="46" t="s">
        <v>39</v>
      </c>
      <c r="F239" s="46" t="s">
        <v>5111</v>
      </c>
      <c r="G239" s="46" t="s">
        <v>5112</v>
      </c>
      <c r="H239" s="46" t="s">
        <v>5113</v>
      </c>
    </row>
    <row r="240" spans="2:8">
      <c r="B240" s="46" t="s">
        <v>187</v>
      </c>
      <c r="C240" s="46" t="s">
        <v>5114</v>
      </c>
      <c r="D240" s="46" t="s">
        <v>5115</v>
      </c>
      <c r="E240" s="46" t="s">
        <v>179</v>
      </c>
      <c r="F240" s="46" t="s">
        <v>5116</v>
      </c>
      <c r="G240" s="46" t="s">
        <v>5117</v>
      </c>
      <c r="H240" s="46" t="s">
        <v>5118</v>
      </c>
    </row>
    <row r="241" spans="2:8">
      <c r="B241" s="46" t="s">
        <v>187</v>
      </c>
      <c r="C241" s="46" t="s">
        <v>5119</v>
      </c>
      <c r="D241" s="46" t="s">
        <v>5120</v>
      </c>
    </row>
    <row r="242" spans="2:8">
      <c r="B242" s="46" t="s">
        <v>188</v>
      </c>
      <c r="C242" s="46" t="s">
        <v>5121</v>
      </c>
      <c r="D242" s="46" t="s">
        <v>5122</v>
      </c>
      <c r="E242" s="46" t="s">
        <v>50</v>
      </c>
      <c r="F242" s="46" t="s">
        <v>5123</v>
      </c>
      <c r="G242" s="46" t="s">
        <v>5124</v>
      </c>
      <c r="H242" s="46" t="s">
        <v>5125</v>
      </c>
    </row>
    <row r="243" spans="2:8">
      <c r="B243" s="46" t="s">
        <v>188</v>
      </c>
      <c r="C243" s="46" t="s">
        <v>5126</v>
      </c>
      <c r="D243" s="46" t="s">
        <v>5127</v>
      </c>
      <c r="E243" s="46" t="s">
        <v>30</v>
      </c>
      <c r="F243" s="46" t="s">
        <v>5128</v>
      </c>
      <c r="G243" s="46" t="s">
        <v>5129</v>
      </c>
      <c r="H243" s="46" t="s">
        <v>5130</v>
      </c>
    </row>
    <row r="244" spans="2:8">
      <c r="B244" s="46" t="s">
        <v>188</v>
      </c>
      <c r="C244" s="46" t="s">
        <v>5131</v>
      </c>
      <c r="D244" s="46" t="s">
        <v>5132</v>
      </c>
      <c r="E244" s="46" t="s">
        <v>39</v>
      </c>
      <c r="F244" s="46" t="s">
        <v>5133</v>
      </c>
      <c r="G244" s="46" t="s">
        <v>5134</v>
      </c>
      <c r="H244" s="46" t="s">
        <v>5135</v>
      </c>
    </row>
    <row r="245" spans="2:8">
      <c r="B245" s="46" t="s">
        <v>188</v>
      </c>
      <c r="C245" s="46" t="s">
        <v>5136</v>
      </c>
      <c r="D245" s="46" t="s">
        <v>5137</v>
      </c>
      <c r="E245" s="46" t="s">
        <v>59</v>
      </c>
      <c r="F245" s="46" t="s">
        <v>5138</v>
      </c>
      <c r="G245" s="46" t="s">
        <v>5139</v>
      </c>
      <c r="H245" s="46" t="s">
        <v>5140</v>
      </c>
    </row>
    <row r="246" spans="2:8">
      <c r="B246" s="46" t="s">
        <v>188</v>
      </c>
      <c r="C246" s="46" t="s">
        <v>5141</v>
      </c>
      <c r="D246" s="46" t="s">
        <v>5142</v>
      </c>
      <c r="E246" s="46" t="s">
        <v>181</v>
      </c>
      <c r="F246" s="46" t="s">
        <v>5143</v>
      </c>
      <c r="G246" s="46" t="s">
        <v>5144</v>
      </c>
      <c r="H246" s="46" t="s">
        <v>5145</v>
      </c>
    </row>
    <row r="247" spans="2:8">
      <c r="B247" s="46" t="s">
        <v>188</v>
      </c>
      <c r="C247" s="46" t="s">
        <v>5146</v>
      </c>
      <c r="D247" s="46" t="s">
        <v>5147</v>
      </c>
    </row>
    <row r="248" spans="2:8">
      <c r="B248" s="46" t="s">
        <v>189</v>
      </c>
      <c r="C248" s="46" t="s">
        <v>5148</v>
      </c>
      <c r="D248" s="46" t="s">
        <v>5149</v>
      </c>
      <c r="E248" s="46" t="s">
        <v>50</v>
      </c>
      <c r="F248" s="46" t="s">
        <v>5150</v>
      </c>
      <c r="G248" s="46" t="s">
        <v>5151</v>
      </c>
      <c r="H248" s="46" t="s">
        <v>5152</v>
      </c>
    </row>
    <row r="249" spans="2:8">
      <c r="B249" s="46" t="s">
        <v>189</v>
      </c>
      <c r="C249" s="46" t="s">
        <v>5153</v>
      </c>
      <c r="D249" s="46" t="s">
        <v>5154</v>
      </c>
      <c r="E249" s="46" t="s">
        <v>30</v>
      </c>
      <c r="F249" s="46" t="s">
        <v>5155</v>
      </c>
      <c r="G249" s="46" t="s">
        <v>5156</v>
      </c>
      <c r="H249" s="46" t="s">
        <v>5157</v>
      </c>
    </row>
    <row r="250" spans="2:8">
      <c r="B250" s="46" t="s">
        <v>189</v>
      </c>
      <c r="C250" s="46" t="s">
        <v>5158</v>
      </c>
      <c r="D250" s="46" t="s">
        <v>5159</v>
      </c>
      <c r="E250" s="46" t="s">
        <v>39</v>
      </c>
      <c r="F250" s="46" t="s">
        <v>5160</v>
      </c>
      <c r="G250" s="46" t="s">
        <v>5161</v>
      </c>
      <c r="H250" s="46" t="s">
        <v>5162</v>
      </c>
    </row>
    <row r="251" spans="2:8">
      <c r="B251" s="46" t="s">
        <v>189</v>
      </c>
      <c r="C251" s="46" t="s">
        <v>5163</v>
      </c>
      <c r="D251" s="46" t="s">
        <v>5164</v>
      </c>
      <c r="E251" s="46" t="s">
        <v>181</v>
      </c>
      <c r="F251" s="46" t="s">
        <v>5165</v>
      </c>
      <c r="G251" s="46" t="s">
        <v>5166</v>
      </c>
      <c r="H251" s="46" t="s">
        <v>5167</v>
      </c>
    </row>
    <row r="252" spans="2:8">
      <c r="B252" s="46" t="s">
        <v>189</v>
      </c>
      <c r="C252" s="46" t="s">
        <v>5168</v>
      </c>
      <c r="D252" s="46" t="s">
        <v>5169</v>
      </c>
    </row>
    <row r="253" spans="2:8">
      <c r="B253" s="46" t="s">
        <v>190</v>
      </c>
      <c r="C253" s="46" t="s">
        <v>5170</v>
      </c>
      <c r="D253" s="46" t="s">
        <v>5171</v>
      </c>
      <c r="E253" s="46" t="s">
        <v>52</v>
      </c>
      <c r="F253" s="46" t="s">
        <v>5172</v>
      </c>
      <c r="G253" s="46" t="s">
        <v>5173</v>
      </c>
      <c r="H253" s="46" t="s">
        <v>5174</v>
      </c>
    </row>
    <row r="254" spans="2:8">
      <c r="B254" s="46" t="s">
        <v>190</v>
      </c>
      <c r="C254" s="46" t="s">
        <v>5175</v>
      </c>
      <c r="D254" s="46" t="s">
        <v>5176</v>
      </c>
      <c r="E254" s="46" t="s">
        <v>32</v>
      </c>
      <c r="F254" s="46" t="s">
        <v>5177</v>
      </c>
      <c r="G254" s="46" t="s">
        <v>5178</v>
      </c>
      <c r="H254" s="46" t="s">
        <v>5179</v>
      </c>
    </row>
    <row r="255" spans="2:8">
      <c r="B255" s="46" t="s">
        <v>190</v>
      </c>
      <c r="C255" s="46" t="s">
        <v>5180</v>
      </c>
      <c r="D255" s="46" t="s">
        <v>5181</v>
      </c>
      <c r="E255" s="46" t="s">
        <v>44</v>
      </c>
      <c r="F255" s="46" t="s">
        <v>5182</v>
      </c>
      <c r="G255" s="46" t="s">
        <v>5183</v>
      </c>
      <c r="H255" s="46" t="s">
        <v>5184</v>
      </c>
    </row>
    <row r="256" spans="2:8">
      <c r="B256" s="46" t="s">
        <v>190</v>
      </c>
      <c r="C256" s="46" t="s">
        <v>5185</v>
      </c>
      <c r="D256" s="46" t="s">
        <v>5186</v>
      </c>
      <c r="E256" s="46" t="s">
        <v>179</v>
      </c>
      <c r="F256" s="46" t="s">
        <v>5187</v>
      </c>
      <c r="G256" s="46" t="s">
        <v>5188</v>
      </c>
      <c r="H256" s="46" t="s">
        <v>5189</v>
      </c>
    </row>
    <row r="257" spans="2:8">
      <c r="B257" s="46" t="s">
        <v>190</v>
      </c>
      <c r="C257" s="46" t="s">
        <v>5190</v>
      </c>
      <c r="D257" s="46" t="s">
        <v>5191</v>
      </c>
    </row>
    <row r="258" spans="2:8">
      <c r="B258" s="46" t="s">
        <v>191</v>
      </c>
      <c r="C258" s="46" t="s">
        <v>5192</v>
      </c>
      <c r="D258" s="46" t="s">
        <v>5193</v>
      </c>
      <c r="E258" s="46" t="s">
        <v>52</v>
      </c>
      <c r="F258" s="46" t="s">
        <v>5194</v>
      </c>
      <c r="G258" s="46" t="s">
        <v>5195</v>
      </c>
      <c r="H258" s="46" t="s">
        <v>5196</v>
      </c>
    </row>
    <row r="259" spans="2:8">
      <c r="B259" s="46" t="s">
        <v>191</v>
      </c>
      <c r="C259" s="46" t="s">
        <v>5197</v>
      </c>
      <c r="D259" s="46" t="s">
        <v>5198</v>
      </c>
      <c r="E259" s="46" t="s">
        <v>32</v>
      </c>
      <c r="F259" s="46" t="s">
        <v>5199</v>
      </c>
      <c r="G259" s="46" t="s">
        <v>5200</v>
      </c>
      <c r="H259" s="46" t="s">
        <v>5201</v>
      </c>
    </row>
    <row r="260" spans="2:8">
      <c r="B260" s="46" t="s">
        <v>191</v>
      </c>
      <c r="C260" s="46" t="s">
        <v>5202</v>
      </c>
      <c r="D260" s="46" t="s">
        <v>5203</v>
      </c>
      <c r="E260" s="46" t="s">
        <v>44</v>
      </c>
      <c r="F260" s="46" t="s">
        <v>5204</v>
      </c>
      <c r="G260" s="46" t="s">
        <v>5205</v>
      </c>
      <c r="H260" s="46" t="s">
        <v>5206</v>
      </c>
    </row>
    <row r="261" spans="2:8">
      <c r="B261" s="46" t="s">
        <v>191</v>
      </c>
      <c r="C261" s="46" t="s">
        <v>5207</v>
      </c>
      <c r="D261" s="46" t="s">
        <v>5208</v>
      </c>
      <c r="E261" s="46" t="s">
        <v>41</v>
      </c>
      <c r="F261" s="46" t="s">
        <v>5209</v>
      </c>
      <c r="G261" s="46" t="s">
        <v>5210</v>
      </c>
      <c r="H261" s="46" t="s">
        <v>5211</v>
      </c>
    </row>
    <row r="262" spans="2:8">
      <c r="B262" s="46" t="s">
        <v>191</v>
      </c>
      <c r="C262" s="46" t="s">
        <v>5212</v>
      </c>
      <c r="D262" s="46" t="s">
        <v>5213</v>
      </c>
      <c r="E262" s="46" t="s">
        <v>181</v>
      </c>
      <c r="F262" s="46" t="s">
        <v>5214</v>
      </c>
      <c r="G262" s="46" t="s">
        <v>5215</v>
      </c>
      <c r="H262" s="46" t="s">
        <v>5216</v>
      </c>
    </row>
    <row r="263" spans="2:8">
      <c r="B263" s="46" t="s">
        <v>191</v>
      </c>
      <c r="C263" s="46" t="s">
        <v>5217</v>
      </c>
      <c r="D263" s="46" t="s">
        <v>5218</v>
      </c>
    </row>
    <row r="264" spans="2:8">
      <c r="B264" s="46" t="s">
        <v>192</v>
      </c>
      <c r="C264" s="46" t="s">
        <v>5219</v>
      </c>
      <c r="D264" s="46" t="s">
        <v>5220</v>
      </c>
      <c r="E264" s="46" t="s">
        <v>52</v>
      </c>
      <c r="F264" s="46" t="s">
        <v>5221</v>
      </c>
      <c r="G264" s="46" t="s">
        <v>5222</v>
      </c>
      <c r="H264" s="46" t="s">
        <v>5223</v>
      </c>
    </row>
    <row r="265" spans="2:8">
      <c r="B265" s="46" t="s">
        <v>192</v>
      </c>
      <c r="C265" s="46" t="s">
        <v>5224</v>
      </c>
      <c r="D265" s="46" t="s">
        <v>5225</v>
      </c>
      <c r="E265" s="46" t="s">
        <v>32</v>
      </c>
      <c r="F265" s="46" t="s">
        <v>5226</v>
      </c>
      <c r="G265" s="46" t="s">
        <v>5227</v>
      </c>
      <c r="H265" s="46" t="s">
        <v>5228</v>
      </c>
    </row>
    <row r="266" spans="2:8">
      <c r="B266" s="46" t="s">
        <v>192</v>
      </c>
      <c r="C266" s="46" t="s">
        <v>5229</v>
      </c>
      <c r="D266" s="46" t="s">
        <v>5230</v>
      </c>
      <c r="E266" s="46" t="s">
        <v>44</v>
      </c>
      <c r="F266" s="46" t="s">
        <v>5231</v>
      </c>
      <c r="G266" s="46" t="s">
        <v>5232</v>
      </c>
      <c r="H266" s="46" t="s">
        <v>5233</v>
      </c>
    </row>
    <row r="267" spans="2:8">
      <c r="B267" s="46" t="s">
        <v>192</v>
      </c>
      <c r="C267" s="46" t="s">
        <v>5234</v>
      </c>
      <c r="D267" s="46" t="s">
        <v>5235</v>
      </c>
      <c r="E267" s="46" t="s">
        <v>181</v>
      </c>
      <c r="F267" s="46" t="s">
        <v>5236</v>
      </c>
      <c r="G267" s="46" t="s">
        <v>5237</v>
      </c>
      <c r="H267" s="46" t="s">
        <v>5238</v>
      </c>
    </row>
    <row r="268" spans="2:8">
      <c r="B268" s="46" t="s">
        <v>192</v>
      </c>
      <c r="C268" s="46" t="s">
        <v>5239</v>
      </c>
      <c r="D268" s="46" t="s">
        <v>5240</v>
      </c>
    </row>
    <row r="269" spans="2:8">
      <c r="B269" s="46" t="s">
        <v>193</v>
      </c>
      <c r="C269" s="46" t="s">
        <v>5241</v>
      </c>
      <c r="D269" s="46" t="s">
        <v>5242</v>
      </c>
      <c r="E269" s="46" t="s">
        <v>181</v>
      </c>
      <c r="F269" s="46" t="s">
        <v>5243</v>
      </c>
      <c r="G269" s="46" t="s">
        <v>5244</v>
      </c>
      <c r="H269" s="46" t="s">
        <v>5245</v>
      </c>
    </row>
    <row r="270" spans="2:8">
      <c r="B270" s="46" t="s">
        <v>193</v>
      </c>
      <c r="C270" s="46" t="s">
        <v>5246</v>
      </c>
      <c r="D270" s="46" t="s">
        <v>5247</v>
      </c>
      <c r="E270" s="46" t="s">
        <v>82</v>
      </c>
      <c r="F270" s="46" t="s">
        <v>5248</v>
      </c>
      <c r="G270" s="46" t="s">
        <v>5249</v>
      </c>
      <c r="H270" s="46" t="s">
        <v>5250</v>
      </c>
    </row>
    <row r="271" spans="2:8">
      <c r="B271" s="46" t="s">
        <v>193</v>
      </c>
      <c r="C271" s="46" t="s">
        <v>5251</v>
      </c>
      <c r="D271" s="46" t="s">
        <v>5252</v>
      </c>
    </row>
    <row r="272" spans="2:8">
      <c r="B272" s="46" t="s">
        <v>194</v>
      </c>
      <c r="C272" s="46" t="s">
        <v>5253</v>
      </c>
      <c r="D272" s="46" t="s">
        <v>5254</v>
      </c>
      <c r="E272" s="46" t="s">
        <v>181</v>
      </c>
      <c r="F272" s="46" t="s">
        <v>5255</v>
      </c>
      <c r="G272" s="46" t="s">
        <v>5256</v>
      </c>
      <c r="H272" s="46" t="s">
        <v>5257</v>
      </c>
    </row>
    <row r="273" spans="2:8">
      <c r="B273" s="46" t="s">
        <v>194</v>
      </c>
      <c r="C273" s="46" t="s">
        <v>5258</v>
      </c>
      <c r="D273" s="46" t="s">
        <v>5259</v>
      </c>
      <c r="E273" s="46" t="s">
        <v>81</v>
      </c>
      <c r="F273" s="46" t="s">
        <v>5260</v>
      </c>
      <c r="G273" s="46" t="s">
        <v>5261</v>
      </c>
      <c r="H273" s="46" t="s">
        <v>5262</v>
      </c>
    </row>
    <row r="274" spans="2:8">
      <c r="B274" s="46" t="s">
        <v>194</v>
      </c>
      <c r="C274" s="46" t="s">
        <v>5263</v>
      </c>
      <c r="D274" s="46" t="s">
        <v>5264</v>
      </c>
    </row>
    <row r="275" spans="2:8">
      <c r="B275" s="46" t="s">
        <v>195</v>
      </c>
      <c r="C275" s="46" t="s">
        <v>5265</v>
      </c>
      <c r="D275" s="46" t="s">
        <v>5266</v>
      </c>
      <c r="E275" s="46" t="s">
        <v>196</v>
      </c>
      <c r="F275" s="46" t="s">
        <v>5267</v>
      </c>
      <c r="G275" s="46" t="s">
        <v>5268</v>
      </c>
      <c r="H275" s="46" t="s">
        <v>5269</v>
      </c>
    </row>
    <row r="276" spans="2:8">
      <c r="B276" s="46" t="s">
        <v>195</v>
      </c>
      <c r="C276" s="46" t="s">
        <v>5270</v>
      </c>
      <c r="D276" s="46" t="s">
        <v>5271</v>
      </c>
      <c r="E276" s="46" t="s">
        <v>78</v>
      </c>
      <c r="F276" s="46" t="s">
        <v>5272</v>
      </c>
      <c r="G276" s="46" t="s">
        <v>5273</v>
      </c>
      <c r="H276" s="46" t="s">
        <v>5274</v>
      </c>
    </row>
    <row r="277" spans="2:8">
      <c r="B277" s="46" t="s">
        <v>195</v>
      </c>
      <c r="C277" s="46" t="s">
        <v>5275</v>
      </c>
      <c r="D277" s="46" t="s">
        <v>5276</v>
      </c>
      <c r="E277" s="46" t="s">
        <v>86</v>
      </c>
      <c r="F277" s="46" t="s">
        <v>5277</v>
      </c>
      <c r="G277" s="46" t="s">
        <v>5278</v>
      </c>
      <c r="H277" s="46" t="s">
        <v>5279</v>
      </c>
    </row>
    <row r="278" spans="2:8">
      <c r="B278" s="46" t="s">
        <v>195</v>
      </c>
      <c r="C278" s="46" t="s">
        <v>5280</v>
      </c>
      <c r="D278" s="46" t="s">
        <v>5281</v>
      </c>
      <c r="E278" s="46" t="s">
        <v>82</v>
      </c>
      <c r="F278" s="46" t="s">
        <v>5282</v>
      </c>
      <c r="G278" s="46" t="s">
        <v>5283</v>
      </c>
      <c r="H278" s="46" t="s">
        <v>5284</v>
      </c>
    </row>
    <row r="279" spans="2:8">
      <c r="B279" s="46" t="s">
        <v>195</v>
      </c>
      <c r="C279" s="46" t="s">
        <v>5285</v>
      </c>
      <c r="D279" s="46" t="s">
        <v>5286</v>
      </c>
    </row>
    <row r="280" spans="2:8">
      <c r="B280" s="46" t="s">
        <v>197</v>
      </c>
      <c r="C280" s="46" t="s">
        <v>5287</v>
      </c>
      <c r="D280" s="46" t="s">
        <v>5288</v>
      </c>
      <c r="E280" s="46" t="s">
        <v>181</v>
      </c>
      <c r="F280" s="46" t="s">
        <v>5289</v>
      </c>
      <c r="G280" s="46" t="s">
        <v>5290</v>
      </c>
      <c r="H280" s="46" t="s">
        <v>5291</v>
      </c>
    </row>
    <row r="281" spans="2:8">
      <c r="B281" s="46" t="s">
        <v>197</v>
      </c>
      <c r="C281" s="46" t="s">
        <v>5292</v>
      </c>
      <c r="D281" s="46" t="s">
        <v>5293</v>
      </c>
      <c r="E281" s="46" t="s">
        <v>78</v>
      </c>
      <c r="F281" s="46" t="s">
        <v>5294</v>
      </c>
      <c r="G281" s="46" t="s">
        <v>5295</v>
      </c>
      <c r="H281" s="46" t="s">
        <v>5296</v>
      </c>
    </row>
    <row r="282" spans="2:8">
      <c r="B282" s="46" t="s">
        <v>197</v>
      </c>
      <c r="C282" s="46" t="s">
        <v>5297</v>
      </c>
      <c r="D282" s="46" t="s">
        <v>5298</v>
      </c>
      <c r="E282" s="46" t="s">
        <v>86</v>
      </c>
      <c r="F282" s="46" t="s">
        <v>5299</v>
      </c>
      <c r="G282" s="46" t="s">
        <v>5300</v>
      </c>
      <c r="H282" s="46" t="s">
        <v>5301</v>
      </c>
    </row>
    <row r="283" spans="2:8">
      <c r="B283" s="46" t="s">
        <v>197</v>
      </c>
      <c r="C283" s="46" t="s">
        <v>5302</v>
      </c>
      <c r="D283" s="46" t="s">
        <v>5303</v>
      </c>
      <c r="E283" s="46" t="s">
        <v>82</v>
      </c>
      <c r="F283" s="46" t="s">
        <v>5304</v>
      </c>
      <c r="G283" s="46" t="s">
        <v>5305</v>
      </c>
      <c r="H283" s="46" t="s">
        <v>5306</v>
      </c>
    </row>
    <row r="284" spans="2:8">
      <c r="B284" s="46" t="s">
        <v>197</v>
      </c>
      <c r="C284" s="46" t="s">
        <v>5307</v>
      </c>
      <c r="D284" s="46" t="s">
        <v>5308</v>
      </c>
    </row>
    <row r="285" spans="2:8">
      <c r="B285" s="46" t="s">
        <v>198</v>
      </c>
      <c r="C285" s="46" t="s">
        <v>5309</v>
      </c>
      <c r="D285" s="46" t="s">
        <v>5310</v>
      </c>
      <c r="E285" s="46" t="s">
        <v>196</v>
      </c>
      <c r="F285" s="46" t="s">
        <v>5311</v>
      </c>
      <c r="G285" s="46" t="s">
        <v>5312</v>
      </c>
      <c r="H285" s="46" t="s">
        <v>5313</v>
      </c>
    </row>
    <row r="286" spans="2:8">
      <c r="B286" s="46" t="s">
        <v>198</v>
      </c>
      <c r="C286" s="46" t="s">
        <v>5314</v>
      </c>
      <c r="D286" s="46" t="s">
        <v>5315</v>
      </c>
      <c r="E286" s="46" t="s">
        <v>77</v>
      </c>
      <c r="F286" s="46" t="s">
        <v>5316</v>
      </c>
      <c r="G286" s="46" t="s">
        <v>5317</v>
      </c>
      <c r="H286" s="46" t="s">
        <v>5318</v>
      </c>
    </row>
    <row r="287" spans="2:8">
      <c r="B287" s="46" t="s">
        <v>198</v>
      </c>
      <c r="C287" s="46" t="s">
        <v>5319</v>
      </c>
      <c r="D287" s="46" t="s">
        <v>5320</v>
      </c>
      <c r="E287" s="46" t="s">
        <v>85</v>
      </c>
      <c r="F287" s="46" t="s">
        <v>5321</v>
      </c>
      <c r="G287" s="46" t="s">
        <v>5322</v>
      </c>
      <c r="H287" s="46" t="s">
        <v>5323</v>
      </c>
    </row>
    <row r="288" spans="2:8">
      <c r="B288" s="46" t="s">
        <v>198</v>
      </c>
      <c r="C288" s="46" t="s">
        <v>5324</v>
      </c>
      <c r="D288" s="46" t="s">
        <v>5325</v>
      </c>
      <c r="E288" s="46" t="s">
        <v>81</v>
      </c>
      <c r="F288" s="46" t="s">
        <v>5326</v>
      </c>
      <c r="G288" s="46" t="s">
        <v>5327</v>
      </c>
      <c r="H288" s="46" t="s">
        <v>5328</v>
      </c>
    </row>
    <row r="289" spans="2:8">
      <c r="B289" s="46" t="s">
        <v>198</v>
      </c>
      <c r="C289" s="46" t="s">
        <v>5329</v>
      </c>
      <c r="D289" s="46" t="s">
        <v>5330</v>
      </c>
    </row>
    <row r="290" spans="2:8">
      <c r="B290" s="46" t="s">
        <v>199</v>
      </c>
      <c r="C290" s="46" t="s">
        <v>5331</v>
      </c>
      <c r="D290" s="46" t="s">
        <v>5332</v>
      </c>
      <c r="E290" s="46" t="s">
        <v>181</v>
      </c>
      <c r="F290" s="46" t="s">
        <v>5333</v>
      </c>
      <c r="G290" s="46" t="s">
        <v>5334</v>
      </c>
      <c r="H290" s="46" t="s">
        <v>5335</v>
      </c>
    </row>
    <row r="291" spans="2:8">
      <c r="B291" s="46" t="s">
        <v>199</v>
      </c>
      <c r="C291" s="46" t="s">
        <v>5336</v>
      </c>
      <c r="D291" s="46" t="s">
        <v>5337</v>
      </c>
      <c r="E291" s="46" t="s">
        <v>77</v>
      </c>
      <c r="F291" s="46" t="s">
        <v>5338</v>
      </c>
      <c r="G291" s="46" t="s">
        <v>5339</v>
      </c>
      <c r="H291" s="46" t="s">
        <v>5340</v>
      </c>
    </row>
    <row r="292" spans="2:8">
      <c r="B292" s="46" t="s">
        <v>199</v>
      </c>
      <c r="C292" s="46" t="s">
        <v>5341</v>
      </c>
      <c r="D292" s="46" t="s">
        <v>5342</v>
      </c>
      <c r="E292" s="46" t="s">
        <v>85</v>
      </c>
      <c r="F292" s="46" t="s">
        <v>5343</v>
      </c>
      <c r="G292" s="46" t="s">
        <v>5344</v>
      </c>
      <c r="H292" s="46" t="s">
        <v>5345</v>
      </c>
    </row>
    <row r="293" spans="2:8">
      <c r="B293" s="46" t="s">
        <v>199</v>
      </c>
      <c r="C293" s="46" t="s">
        <v>5346</v>
      </c>
      <c r="D293" s="46" t="s">
        <v>5347</v>
      </c>
      <c r="E293" s="46" t="s">
        <v>81</v>
      </c>
      <c r="F293" s="46" t="s">
        <v>5348</v>
      </c>
      <c r="G293" s="46" t="s">
        <v>5349</v>
      </c>
      <c r="H293" s="46" t="s">
        <v>5350</v>
      </c>
    </row>
    <row r="294" spans="2:8">
      <c r="B294" s="46" t="s">
        <v>199</v>
      </c>
      <c r="C294" s="46" t="s">
        <v>5351</v>
      </c>
      <c r="D294" s="46" t="s">
        <v>5352</v>
      </c>
    </row>
    <row r="295" spans="2:8">
      <c r="B295" s="46" t="s">
        <v>200</v>
      </c>
      <c r="C295" s="46" t="s">
        <v>5353</v>
      </c>
      <c r="D295" s="46" t="s">
        <v>5354</v>
      </c>
      <c r="E295" s="46" t="s">
        <v>181</v>
      </c>
      <c r="F295" s="46" t="s">
        <v>5355</v>
      </c>
      <c r="G295" s="46" t="s">
        <v>5356</v>
      </c>
      <c r="H295" s="46" t="s">
        <v>5357</v>
      </c>
    </row>
    <row r="296" spans="2:8">
      <c r="B296" s="46" t="s">
        <v>200</v>
      </c>
      <c r="C296" s="46" t="s">
        <v>5358</v>
      </c>
      <c r="D296" s="46" t="s">
        <v>5359</v>
      </c>
      <c r="E296" s="46" t="s">
        <v>78</v>
      </c>
      <c r="F296" s="46" t="s">
        <v>5360</v>
      </c>
      <c r="G296" s="46" t="s">
        <v>5361</v>
      </c>
      <c r="H296" s="46" t="s">
        <v>5362</v>
      </c>
    </row>
    <row r="297" spans="2:8">
      <c r="B297" s="46" t="s">
        <v>200</v>
      </c>
      <c r="C297" s="46" t="s">
        <v>5363</v>
      </c>
      <c r="D297" s="46" t="s">
        <v>5364</v>
      </c>
      <c r="E297" s="46" t="s">
        <v>82</v>
      </c>
      <c r="F297" s="46" t="s">
        <v>5365</v>
      </c>
      <c r="G297" s="46" t="s">
        <v>5366</v>
      </c>
      <c r="H297" s="46" t="s">
        <v>5367</v>
      </c>
    </row>
    <row r="298" spans="2:8">
      <c r="B298" s="46" t="s">
        <v>200</v>
      </c>
      <c r="C298" s="46" t="s">
        <v>5368</v>
      </c>
      <c r="D298" s="46" t="s">
        <v>5369</v>
      </c>
    </row>
    <row r="299" spans="2:8">
      <c r="B299" s="46" t="s">
        <v>201</v>
      </c>
      <c r="C299" s="46" t="s">
        <v>5370</v>
      </c>
      <c r="D299" s="46" t="s">
        <v>5371</v>
      </c>
      <c r="E299" s="46" t="s">
        <v>181</v>
      </c>
      <c r="F299" s="46" t="s">
        <v>5372</v>
      </c>
      <c r="G299" s="46" t="s">
        <v>5373</v>
      </c>
      <c r="H299" s="46" t="s">
        <v>5374</v>
      </c>
    </row>
    <row r="300" spans="2:8">
      <c r="B300" s="46" t="s">
        <v>201</v>
      </c>
      <c r="C300" s="46" t="s">
        <v>5375</v>
      </c>
      <c r="D300" s="46" t="s">
        <v>5376</v>
      </c>
      <c r="E300" s="46" t="s">
        <v>77</v>
      </c>
      <c r="F300" s="46" t="s">
        <v>5377</v>
      </c>
      <c r="G300" s="46" t="s">
        <v>5378</v>
      </c>
      <c r="H300" s="46" t="s">
        <v>5379</v>
      </c>
    </row>
    <row r="301" spans="2:8">
      <c r="B301" s="46" t="s">
        <v>201</v>
      </c>
      <c r="C301" s="46" t="s">
        <v>5380</v>
      </c>
      <c r="D301" s="46" t="s">
        <v>5381</v>
      </c>
      <c r="E301" s="46" t="s">
        <v>81</v>
      </c>
      <c r="F301" s="46" t="s">
        <v>5382</v>
      </c>
      <c r="G301" s="46" t="s">
        <v>5383</v>
      </c>
      <c r="H301" s="46" t="s">
        <v>5384</v>
      </c>
    </row>
    <row r="302" spans="2:8">
      <c r="B302" s="46" t="s">
        <v>201</v>
      </c>
      <c r="C302" s="46" t="s">
        <v>5385</v>
      </c>
      <c r="D302" s="46" t="s">
        <v>5386</v>
      </c>
    </row>
    <row r="303" spans="2:8">
      <c r="B303" s="46" t="s">
        <v>202</v>
      </c>
      <c r="C303" s="46" t="s">
        <v>5387</v>
      </c>
      <c r="D303" s="46" t="s">
        <v>5388</v>
      </c>
      <c r="E303" s="46" t="s">
        <v>181</v>
      </c>
      <c r="F303" s="46" t="s">
        <v>5389</v>
      </c>
      <c r="G303" s="46" t="s">
        <v>5390</v>
      </c>
      <c r="H303" s="46" t="s">
        <v>5391</v>
      </c>
    </row>
    <row r="304" spans="2:8">
      <c r="B304" s="46" t="s">
        <v>202</v>
      </c>
      <c r="C304" s="46" t="s">
        <v>5392</v>
      </c>
      <c r="D304" s="46" t="s">
        <v>5393</v>
      </c>
      <c r="E304" s="46" t="s">
        <v>111</v>
      </c>
      <c r="F304" s="46" t="s">
        <v>5394</v>
      </c>
      <c r="G304" s="46" t="s">
        <v>5395</v>
      </c>
      <c r="H304" s="46" t="s">
        <v>5396</v>
      </c>
    </row>
    <row r="305" spans="2:8">
      <c r="B305" s="46" t="s">
        <v>202</v>
      </c>
      <c r="C305" s="46" t="s">
        <v>5397</v>
      </c>
      <c r="D305" s="46" t="s">
        <v>5398</v>
      </c>
      <c r="E305" s="46" t="s">
        <v>116</v>
      </c>
      <c r="F305" s="46" t="s">
        <v>5399</v>
      </c>
      <c r="G305" s="46" t="s">
        <v>5400</v>
      </c>
      <c r="H305" s="46" t="s">
        <v>5401</v>
      </c>
    </row>
    <row r="306" spans="2:8">
      <c r="B306" s="46" t="s">
        <v>202</v>
      </c>
      <c r="C306" s="46" t="s">
        <v>5402</v>
      </c>
      <c r="D306" s="46" t="s">
        <v>5403</v>
      </c>
    </row>
    <row r="307" spans="2:8">
      <c r="B307" s="46" t="s">
        <v>203</v>
      </c>
      <c r="C307" s="46" t="s">
        <v>5404</v>
      </c>
      <c r="D307" s="46" t="s">
        <v>5405</v>
      </c>
      <c r="E307" s="46" t="s">
        <v>181</v>
      </c>
      <c r="F307" s="46" t="s">
        <v>5406</v>
      </c>
      <c r="G307" s="46" t="s">
        <v>5407</v>
      </c>
      <c r="H307" s="46" t="s">
        <v>5408</v>
      </c>
    </row>
    <row r="308" spans="2:8">
      <c r="B308" s="46" t="s">
        <v>203</v>
      </c>
      <c r="C308" s="46" t="s">
        <v>5409</v>
      </c>
      <c r="D308" s="46" t="s">
        <v>5410</v>
      </c>
      <c r="E308" s="46" t="s">
        <v>116</v>
      </c>
      <c r="F308" s="46" t="s">
        <v>5411</v>
      </c>
      <c r="G308" s="46" t="s">
        <v>5412</v>
      </c>
      <c r="H308" s="46" t="s">
        <v>5413</v>
      </c>
    </row>
    <row r="309" spans="2:8">
      <c r="B309" s="46" t="s">
        <v>203</v>
      </c>
      <c r="C309" s="46" t="s">
        <v>5414</v>
      </c>
      <c r="D309" s="46" t="s">
        <v>5415</v>
      </c>
    </row>
    <row r="310" spans="2:8">
      <c r="B310" s="46" t="s">
        <v>204</v>
      </c>
      <c r="C310" s="46" t="s">
        <v>5416</v>
      </c>
      <c r="D310" s="46" t="s">
        <v>5417</v>
      </c>
      <c r="E310" s="46" t="s">
        <v>181</v>
      </c>
      <c r="F310" s="46" t="s">
        <v>5418</v>
      </c>
      <c r="G310" s="46" t="s">
        <v>5419</v>
      </c>
      <c r="H310" s="46" t="s">
        <v>5420</v>
      </c>
    </row>
    <row r="311" spans="2:8">
      <c r="B311" s="46" t="s">
        <v>204</v>
      </c>
      <c r="C311" s="46" t="s">
        <v>5421</v>
      </c>
      <c r="D311" s="46" t="s">
        <v>5422</v>
      </c>
      <c r="E311" s="46" t="s">
        <v>111</v>
      </c>
      <c r="F311" s="46" t="s">
        <v>5423</v>
      </c>
      <c r="G311" s="46" t="s">
        <v>5424</v>
      </c>
      <c r="H311" s="46" t="s">
        <v>5425</v>
      </c>
    </row>
    <row r="312" spans="2:8">
      <c r="B312" s="46" t="s">
        <v>204</v>
      </c>
      <c r="C312" s="46" t="s">
        <v>5426</v>
      </c>
      <c r="D312" s="46" t="s">
        <v>5427</v>
      </c>
      <c r="E312" s="46" t="s">
        <v>116</v>
      </c>
      <c r="F312" s="46" t="s">
        <v>5428</v>
      </c>
      <c r="G312" s="46" t="s">
        <v>5429</v>
      </c>
      <c r="H312" s="46" t="s">
        <v>5430</v>
      </c>
    </row>
    <row r="313" spans="2:8">
      <c r="B313" s="46" t="s">
        <v>204</v>
      </c>
      <c r="C313" s="46" t="s">
        <v>5431</v>
      </c>
      <c r="D313" s="46" t="s">
        <v>5432</v>
      </c>
    </row>
    <row r="314" spans="2:8">
      <c r="B314" s="46" t="s">
        <v>205</v>
      </c>
      <c r="C314" s="46" t="s">
        <v>5433</v>
      </c>
      <c r="D314" s="46" t="s">
        <v>5434</v>
      </c>
      <c r="E314" s="46" t="s">
        <v>181</v>
      </c>
      <c r="F314" s="46" t="s">
        <v>5435</v>
      </c>
      <c r="G314" s="46" t="s">
        <v>5436</v>
      </c>
      <c r="H314" s="46" t="s">
        <v>5437</v>
      </c>
    </row>
    <row r="315" spans="2:8">
      <c r="B315" s="46" t="s">
        <v>205</v>
      </c>
      <c r="C315" s="46" t="s">
        <v>5438</v>
      </c>
      <c r="D315" s="46" t="s">
        <v>5439</v>
      </c>
      <c r="E315" s="46" t="s">
        <v>113</v>
      </c>
      <c r="F315" s="46" t="s">
        <v>5440</v>
      </c>
      <c r="G315" s="46" t="s">
        <v>5441</v>
      </c>
      <c r="H315" s="46" t="s">
        <v>5442</v>
      </c>
    </row>
    <row r="316" spans="2:8">
      <c r="B316" s="46" t="s">
        <v>205</v>
      </c>
      <c r="C316" s="46" t="s">
        <v>5443</v>
      </c>
      <c r="D316" s="46" t="s">
        <v>5444</v>
      </c>
      <c r="E316" s="46" t="s">
        <v>118</v>
      </c>
      <c r="F316" s="46" t="s">
        <v>5445</v>
      </c>
      <c r="G316" s="46" t="s">
        <v>5446</v>
      </c>
      <c r="H316" s="46" t="s">
        <v>5447</v>
      </c>
    </row>
    <row r="317" spans="2:8">
      <c r="B317" s="46" t="s">
        <v>205</v>
      </c>
      <c r="C317" s="46" t="s">
        <v>5448</v>
      </c>
      <c r="D317" s="46" t="s">
        <v>5449</v>
      </c>
    </row>
    <row r="318" spans="2:8">
      <c r="B318" s="46" t="s">
        <v>206</v>
      </c>
      <c r="C318" s="46" t="s">
        <v>5450</v>
      </c>
      <c r="D318" s="46" t="s">
        <v>5451</v>
      </c>
      <c r="E318" s="46" t="s">
        <v>181</v>
      </c>
      <c r="F318" s="46" t="s">
        <v>5452</v>
      </c>
      <c r="G318" s="46" t="s">
        <v>5453</v>
      </c>
      <c r="H318" s="46" t="s">
        <v>5454</v>
      </c>
    </row>
    <row r="319" spans="2:8">
      <c r="B319" s="46" t="s">
        <v>206</v>
      </c>
      <c r="C319" s="46" t="s">
        <v>5455</v>
      </c>
      <c r="D319" s="46" t="s">
        <v>5456</v>
      </c>
      <c r="E319" s="46" t="s">
        <v>118</v>
      </c>
      <c r="F319" s="46" t="s">
        <v>5457</v>
      </c>
      <c r="G319" s="46" t="s">
        <v>5458</v>
      </c>
      <c r="H319" s="46" t="s">
        <v>5459</v>
      </c>
    </row>
    <row r="320" spans="2:8">
      <c r="B320" s="46" t="s">
        <v>206</v>
      </c>
      <c r="C320" s="46" t="s">
        <v>5460</v>
      </c>
      <c r="D320" s="46" t="s">
        <v>5461</v>
      </c>
    </row>
    <row r="321" spans="2:8">
      <c r="B321" s="46" t="s">
        <v>207</v>
      </c>
      <c r="C321" s="46" t="s">
        <v>5462</v>
      </c>
      <c r="D321" s="46" t="s">
        <v>5463</v>
      </c>
      <c r="E321" s="46" t="s">
        <v>181</v>
      </c>
      <c r="F321" s="46" t="s">
        <v>5464</v>
      </c>
      <c r="G321" s="46" t="s">
        <v>5465</v>
      </c>
      <c r="H321" s="46" t="s">
        <v>5466</v>
      </c>
    </row>
    <row r="322" spans="2:8">
      <c r="B322" s="46" t="s">
        <v>207</v>
      </c>
      <c r="C322" s="46" t="s">
        <v>5467</v>
      </c>
      <c r="D322" s="46" t="s">
        <v>5468</v>
      </c>
      <c r="E322" s="46" t="s">
        <v>113</v>
      </c>
      <c r="F322" s="46" t="s">
        <v>5469</v>
      </c>
      <c r="G322" s="46" t="s">
        <v>5470</v>
      </c>
      <c r="H322" s="46" t="s">
        <v>5471</v>
      </c>
    </row>
    <row r="323" spans="2:8">
      <c r="B323" s="46" t="s">
        <v>207</v>
      </c>
      <c r="C323" s="46" t="s">
        <v>5472</v>
      </c>
      <c r="D323" s="46" t="s">
        <v>5473</v>
      </c>
      <c r="E323" s="46" t="s">
        <v>118</v>
      </c>
      <c r="F323" s="46" t="s">
        <v>5474</v>
      </c>
      <c r="G323" s="46" t="s">
        <v>5475</v>
      </c>
      <c r="H323" s="46" t="s">
        <v>5476</v>
      </c>
    </row>
    <row r="324" spans="2:8">
      <c r="B324" s="46" t="s">
        <v>207</v>
      </c>
      <c r="C324" s="46" t="s">
        <v>5477</v>
      </c>
      <c r="D324" s="46" t="s">
        <v>5478</v>
      </c>
    </row>
    <row r="325" spans="2:8">
      <c r="B325" s="46" t="s">
        <v>208</v>
      </c>
      <c r="C325" s="46" t="s">
        <v>5479</v>
      </c>
      <c r="D325" s="46" t="s">
        <v>5480</v>
      </c>
      <c r="E325" s="46" t="s">
        <v>181</v>
      </c>
      <c r="F325" s="46" t="s">
        <v>5481</v>
      </c>
      <c r="G325" s="46" t="s">
        <v>5482</v>
      </c>
      <c r="H325" s="46" t="s">
        <v>5483</v>
      </c>
    </row>
    <row r="326" spans="2:8">
      <c r="B326" s="46" t="s">
        <v>208</v>
      </c>
      <c r="C326" s="46" t="s">
        <v>5484</v>
      </c>
      <c r="D326" s="46" t="s">
        <v>5485</v>
      </c>
      <c r="E326" s="46" t="s">
        <v>112</v>
      </c>
      <c r="F326" s="46" t="s">
        <v>5486</v>
      </c>
      <c r="G326" s="46" t="s">
        <v>5487</v>
      </c>
      <c r="H326" s="46" t="s">
        <v>5488</v>
      </c>
    </row>
    <row r="327" spans="2:8">
      <c r="B327" s="46" t="s">
        <v>208</v>
      </c>
      <c r="C327" s="46" t="s">
        <v>5489</v>
      </c>
      <c r="D327" s="46" t="s">
        <v>5490</v>
      </c>
      <c r="E327" s="46" t="s">
        <v>117</v>
      </c>
      <c r="F327" s="46" t="s">
        <v>5491</v>
      </c>
      <c r="G327" s="46" t="s">
        <v>5492</v>
      </c>
      <c r="H327" s="46" t="s">
        <v>5493</v>
      </c>
    </row>
    <row r="328" spans="2:8">
      <c r="B328" s="46" t="s">
        <v>208</v>
      </c>
      <c r="C328" s="46" t="s">
        <v>5494</v>
      </c>
      <c r="D328" s="46" t="s">
        <v>5495</v>
      </c>
    </row>
    <row r="329" spans="2:8">
      <c r="B329" s="46" t="s">
        <v>209</v>
      </c>
      <c r="C329" s="46" t="s">
        <v>5496</v>
      </c>
      <c r="D329" s="46" t="s">
        <v>5497</v>
      </c>
      <c r="E329" s="46" t="s">
        <v>181</v>
      </c>
      <c r="F329" s="46" t="s">
        <v>5498</v>
      </c>
      <c r="G329" s="46" t="s">
        <v>5499</v>
      </c>
      <c r="H329" s="46" t="s">
        <v>5500</v>
      </c>
    </row>
    <row r="330" spans="2:8">
      <c r="B330" s="46" t="s">
        <v>209</v>
      </c>
      <c r="C330" s="46" t="s">
        <v>5501</v>
      </c>
      <c r="D330" s="46" t="s">
        <v>5502</v>
      </c>
      <c r="E330" s="46" t="s">
        <v>117</v>
      </c>
      <c r="F330" s="46" t="s">
        <v>5503</v>
      </c>
      <c r="G330" s="46" t="s">
        <v>5504</v>
      </c>
      <c r="H330" s="46" t="s">
        <v>5505</v>
      </c>
    </row>
    <row r="331" spans="2:8">
      <c r="B331" s="46" t="s">
        <v>209</v>
      </c>
      <c r="C331" s="46" t="s">
        <v>5506</v>
      </c>
      <c r="D331" s="46" t="s">
        <v>5507</v>
      </c>
    </row>
    <row r="332" spans="2:8">
      <c r="B332" s="46" t="s">
        <v>210</v>
      </c>
      <c r="C332" s="46" t="s">
        <v>5508</v>
      </c>
      <c r="D332" s="46" t="s">
        <v>5509</v>
      </c>
      <c r="E332" s="46" t="s">
        <v>181</v>
      </c>
      <c r="F332" s="46" t="s">
        <v>5510</v>
      </c>
      <c r="G332" s="46" t="s">
        <v>5511</v>
      </c>
      <c r="H332" s="46" t="s">
        <v>5512</v>
      </c>
    </row>
    <row r="333" spans="2:8">
      <c r="B333" s="46" t="s">
        <v>210</v>
      </c>
      <c r="C333" s="46" t="s">
        <v>5513</v>
      </c>
      <c r="D333" s="46" t="s">
        <v>5514</v>
      </c>
      <c r="E333" s="46" t="s">
        <v>112</v>
      </c>
      <c r="F333" s="46" t="s">
        <v>5515</v>
      </c>
      <c r="G333" s="46" t="s">
        <v>5516</v>
      </c>
      <c r="H333" s="46" t="s">
        <v>5517</v>
      </c>
    </row>
    <row r="334" spans="2:8">
      <c r="B334" s="46" t="s">
        <v>210</v>
      </c>
      <c r="C334" s="46" t="s">
        <v>5518</v>
      </c>
      <c r="D334" s="46" t="s">
        <v>5519</v>
      </c>
      <c r="E334" s="46" t="s">
        <v>117</v>
      </c>
      <c r="F334" s="46" t="s">
        <v>5520</v>
      </c>
      <c r="G334" s="46" t="s">
        <v>5521</v>
      </c>
      <c r="H334" s="46" t="s">
        <v>5522</v>
      </c>
    </row>
    <row r="335" spans="2:8">
      <c r="B335" s="46" t="s">
        <v>210</v>
      </c>
      <c r="C335" s="46" t="s">
        <v>5523</v>
      </c>
      <c r="D335" s="46" t="s">
        <v>5524</v>
      </c>
    </row>
    <row r="336" spans="2:8">
      <c r="B336" s="46" t="s">
        <v>211</v>
      </c>
      <c r="C336" s="46" t="s">
        <v>5525</v>
      </c>
      <c r="D336" s="46" t="s">
        <v>5526</v>
      </c>
      <c r="E336" s="46" t="s">
        <v>181</v>
      </c>
      <c r="F336" s="46" t="s">
        <v>5527</v>
      </c>
      <c r="G336" s="46" t="s">
        <v>5528</v>
      </c>
      <c r="H336" s="46" t="s">
        <v>5529</v>
      </c>
    </row>
    <row r="337" spans="2:8">
      <c r="B337" s="46" t="s">
        <v>211</v>
      </c>
      <c r="C337" s="46" t="s">
        <v>5530</v>
      </c>
      <c r="D337" s="46" t="s">
        <v>5531</v>
      </c>
      <c r="E337" s="46" t="s">
        <v>114</v>
      </c>
      <c r="F337" s="46" t="s">
        <v>5532</v>
      </c>
      <c r="G337" s="46" t="s">
        <v>5533</v>
      </c>
      <c r="H337" s="46" t="s">
        <v>5534</v>
      </c>
    </row>
    <row r="338" spans="2:8">
      <c r="B338" s="46" t="s">
        <v>211</v>
      </c>
      <c r="C338" s="46" t="s">
        <v>5535</v>
      </c>
      <c r="D338" s="46" t="s">
        <v>5536</v>
      </c>
      <c r="E338" s="46" t="s">
        <v>119</v>
      </c>
      <c r="F338" s="46" t="s">
        <v>5537</v>
      </c>
      <c r="G338" s="46" t="s">
        <v>5538</v>
      </c>
      <c r="H338" s="46" t="s">
        <v>5539</v>
      </c>
    </row>
    <row r="339" spans="2:8">
      <c r="B339" s="46" t="s">
        <v>211</v>
      </c>
      <c r="C339" s="46" t="s">
        <v>5540</v>
      </c>
      <c r="D339" s="46" t="s">
        <v>5541</v>
      </c>
    </row>
    <row r="340" spans="2:8">
      <c r="B340" s="46" t="s">
        <v>212</v>
      </c>
      <c r="C340" s="46" t="s">
        <v>5542</v>
      </c>
      <c r="D340" s="46" t="s">
        <v>5543</v>
      </c>
      <c r="E340" s="46" t="s">
        <v>181</v>
      </c>
      <c r="F340" s="46" t="s">
        <v>5544</v>
      </c>
      <c r="G340" s="46" t="s">
        <v>5545</v>
      </c>
      <c r="H340" s="46" t="s">
        <v>1095</v>
      </c>
    </row>
    <row r="341" spans="2:8">
      <c r="B341" s="46" t="s">
        <v>212</v>
      </c>
      <c r="C341" s="46" t="s">
        <v>5546</v>
      </c>
      <c r="D341" s="46" t="s">
        <v>5547</v>
      </c>
      <c r="E341" s="46" t="s">
        <v>119</v>
      </c>
      <c r="F341" s="46" t="s">
        <v>5548</v>
      </c>
      <c r="G341" s="46" t="s">
        <v>5549</v>
      </c>
      <c r="H341" s="46" t="s">
        <v>5550</v>
      </c>
    </row>
    <row r="342" spans="2:8">
      <c r="B342" s="46" t="s">
        <v>212</v>
      </c>
      <c r="C342" s="46" t="s">
        <v>5551</v>
      </c>
      <c r="D342" s="46" t="s">
        <v>5552</v>
      </c>
    </row>
    <row r="343" spans="2:8">
      <c r="B343" s="46" t="s">
        <v>213</v>
      </c>
      <c r="C343" s="46" t="s">
        <v>5553</v>
      </c>
      <c r="D343" s="46" t="s">
        <v>5554</v>
      </c>
      <c r="E343" s="46" t="s">
        <v>181</v>
      </c>
      <c r="F343" s="46" t="s">
        <v>5555</v>
      </c>
      <c r="G343" s="46" t="s">
        <v>5556</v>
      </c>
      <c r="H343" s="46" t="s">
        <v>5557</v>
      </c>
    </row>
    <row r="344" spans="2:8">
      <c r="B344" s="46" t="s">
        <v>213</v>
      </c>
      <c r="C344" s="46" t="s">
        <v>5558</v>
      </c>
      <c r="D344" s="46" t="s">
        <v>5559</v>
      </c>
      <c r="E344" s="46" t="s">
        <v>114</v>
      </c>
      <c r="F344" s="46" t="s">
        <v>5560</v>
      </c>
      <c r="G344" s="46" t="s">
        <v>5561</v>
      </c>
      <c r="H344" s="46" t="s">
        <v>5562</v>
      </c>
    </row>
    <row r="345" spans="2:8">
      <c r="B345" s="46" t="s">
        <v>213</v>
      </c>
      <c r="C345" s="46" t="s">
        <v>5563</v>
      </c>
      <c r="D345" s="46" t="s">
        <v>5564</v>
      </c>
      <c r="E345" s="46" t="s">
        <v>119</v>
      </c>
      <c r="F345" s="46" t="s">
        <v>5565</v>
      </c>
      <c r="G345" s="46" t="s">
        <v>5566</v>
      </c>
      <c r="H345" s="46" t="s">
        <v>5567</v>
      </c>
    </row>
    <row r="346" spans="2:8">
      <c r="B346" s="46" t="s">
        <v>213</v>
      </c>
      <c r="C346" s="46" t="s">
        <v>5568</v>
      </c>
      <c r="D346" s="46" t="s">
        <v>5569</v>
      </c>
    </row>
    <row r="347" spans="2:8">
      <c r="B347" s="46" t="s">
        <v>214</v>
      </c>
      <c r="C347" s="46" t="s">
        <v>5570</v>
      </c>
      <c r="D347" s="46" t="s">
        <v>5571</v>
      </c>
      <c r="E347" s="46" t="s">
        <v>28</v>
      </c>
      <c r="F347" s="46" t="s">
        <v>5572</v>
      </c>
      <c r="G347" s="46" t="s">
        <v>5573</v>
      </c>
      <c r="H347" s="46" t="s">
        <v>5574</v>
      </c>
    </row>
    <row r="348" spans="2:8">
      <c r="B348" s="46" t="s">
        <v>214</v>
      </c>
      <c r="C348" s="46" t="s">
        <v>5575</v>
      </c>
      <c r="D348" s="46" t="s">
        <v>5576</v>
      </c>
      <c r="E348" s="46" t="s">
        <v>63</v>
      </c>
      <c r="F348" s="46" t="s">
        <v>5577</v>
      </c>
      <c r="G348" s="46" t="s">
        <v>5578</v>
      </c>
      <c r="H348" s="46" t="s">
        <v>5579</v>
      </c>
    </row>
    <row r="349" spans="2:8">
      <c r="B349" s="46" t="s">
        <v>214</v>
      </c>
      <c r="C349" s="46" t="s">
        <v>5580</v>
      </c>
      <c r="D349" s="46" t="s">
        <v>5581</v>
      </c>
      <c r="E349" s="46" t="s">
        <v>61</v>
      </c>
      <c r="F349" s="46" t="s">
        <v>5582</v>
      </c>
      <c r="G349" s="46" t="s">
        <v>5583</v>
      </c>
      <c r="H349" s="46" t="s">
        <v>5584</v>
      </c>
    </row>
    <row r="350" spans="2:8">
      <c r="B350" s="46" t="s">
        <v>214</v>
      </c>
      <c r="C350" s="46" t="s">
        <v>5585</v>
      </c>
      <c r="D350" s="46" t="s">
        <v>5586</v>
      </c>
      <c r="E350" s="46" t="s">
        <v>196</v>
      </c>
      <c r="F350" s="46" t="s">
        <v>5587</v>
      </c>
      <c r="G350" s="46" t="s">
        <v>5588</v>
      </c>
      <c r="H350" s="46" t="s">
        <v>5589</v>
      </c>
    </row>
    <row r="351" spans="2:8">
      <c r="B351" s="46" t="s">
        <v>214</v>
      </c>
      <c r="C351" s="46" t="s">
        <v>5590</v>
      </c>
      <c r="D351" s="46" t="s">
        <v>5591</v>
      </c>
    </row>
    <row r="352" spans="2:8">
      <c r="B352" s="46" t="s">
        <v>215</v>
      </c>
      <c r="C352" s="46" t="s">
        <v>5592</v>
      </c>
      <c r="D352" s="46" t="s">
        <v>5593</v>
      </c>
      <c r="E352" s="46" t="s">
        <v>91</v>
      </c>
      <c r="F352" s="46" t="s">
        <v>5594</v>
      </c>
      <c r="G352" s="46" t="s">
        <v>5595</v>
      </c>
      <c r="H352" s="46" t="s">
        <v>5596</v>
      </c>
    </row>
    <row r="353" spans="2:8">
      <c r="B353" s="46" t="s">
        <v>215</v>
      </c>
      <c r="C353" s="46" t="s">
        <v>5597</v>
      </c>
      <c r="D353" s="46" t="s">
        <v>5598</v>
      </c>
      <c r="E353" s="46" t="s">
        <v>92</v>
      </c>
      <c r="F353" s="46" t="s">
        <v>5599</v>
      </c>
      <c r="G353" s="46" t="s">
        <v>5600</v>
      </c>
      <c r="H353" s="46" t="s">
        <v>5601</v>
      </c>
    </row>
    <row r="354" spans="2:8">
      <c r="B354" s="46" t="s">
        <v>215</v>
      </c>
      <c r="C354" s="46" t="s">
        <v>5602</v>
      </c>
      <c r="D354" s="46" t="s">
        <v>5603</v>
      </c>
      <c r="E354" s="46" t="s">
        <v>196</v>
      </c>
      <c r="F354" s="46" t="s">
        <v>5604</v>
      </c>
      <c r="G354" s="46" t="s">
        <v>5605</v>
      </c>
      <c r="H354" s="46" t="s">
        <v>5606</v>
      </c>
    </row>
    <row r="355" spans="2:8">
      <c r="B355" s="46" t="s">
        <v>215</v>
      </c>
      <c r="C355" s="46" t="s">
        <v>5607</v>
      </c>
      <c r="D355" s="46" t="s">
        <v>5608</v>
      </c>
    </row>
    <row r="356" spans="2:8">
      <c r="B356" s="46" t="s">
        <v>216</v>
      </c>
      <c r="C356" s="46" t="s">
        <v>5609</v>
      </c>
      <c r="D356" s="46" t="s">
        <v>5610</v>
      </c>
      <c r="E356" s="46" t="s">
        <v>196</v>
      </c>
      <c r="F356" s="46" t="s">
        <v>5611</v>
      </c>
      <c r="G356" s="46" t="s">
        <v>5612</v>
      </c>
      <c r="H356" s="46" t="s">
        <v>5613</v>
      </c>
    </row>
    <row r="357" spans="2:8">
      <c r="B357" s="46" t="s">
        <v>216</v>
      </c>
      <c r="C357" s="46" t="s">
        <v>5614</v>
      </c>
      <c r="D357" s="46" t="s">
        <v>5615</v>
      </c>
      <c r="E357" s="46" t="s">
        <v>111</v>
      </c>
      <c r="F357" s="46" t="s">
        <v>5616</v>
      </c>
      <c r="G357" s="46" t="s">
        <v>5617</v>
      </c>
      <c r="H357" s="46" t="s">
        <v>5618</v>
      </c>
    </row>
    <row r="358" spans="2:8">
      <c r="B358" s="46" t="s">
        <v>216</v>
      </c>
      <c r="C358" s="46" t="s">
        <v>5619</v>
      </c>
      <c r="D358" s="46" t="s">
        <v>5620</v>
      </c>
      <c r="E358" s="46" t="s">
        <v>116</v>
      </c>
      <c r="F358" s="46" t="s">
        <v>5621</v>
      </c>
      <c r="G358" s="46" t="s">
        <v>5622</v>
      </c>
      <c r="H358" s="46" t="s">
        <v>5623</v>
      </c>
    </row>
    <row r="359" spans="2:8">
      <c r="B359" s="46" t="s">
        <v>216</v>
      </c>
      <c r="C359" s="46" t="s">
        <v>5624</v>
      </c>
      <c r="D359" s="46" t="s">
        <v>5625</v>
      </c>
    </row>
    <row r="360" spans="2:8">
      <c r="B360" s="46" t="s">
        <v>217</v>
      </c>
      <c r="C360" s="46" t="s">
        <v>5626</v>
      </c>
      <c r="D360" s="46" t="s">
        <v>5627</v>
      </c>
      <c r="E360" s="46" t="s">
        <v>196</v>
      </c>
      <c r="F360" s="46" t="s">
        <v>5628</v>
      </c>
      <c r="G360" s="46" t="s">
        <v>5629</v>
      </c>
      <c r="H360" s="46" t="s">
        <v>5630</v>
      </c>
    </row>
    <row r="361" spans="2:8">
      <c r="B361" s="46" t="s">
        <v>217</v>
      </c>
      <c r="C361" s="46" t="s">
        <v>5631</v>
      </c>
      <c r="D361" s="46" t="s">
        <v>5632</v>
      </c>
      <c r="E361" s="46" t="s">
        <v>113</v>
      </c>
      <c r="F361" s="46" t="s">
        <v>5633</v>
      </c>
      <c r="G361" s="46" t="s">
        <v>5634</v>
      </c>
      <c r="H361" s="46" t="s">
        <v>5635</v>
      </c>
    </row>
    <row r="362" spans="2:8">
      <c r="B362" s="46" t="s">
        <v>217</v>
      </c>
      <c r="C362" s="46" t="s">
        <v>5636</v>
      </c>
      <c r="D362" s="46" t="s">
        <v>5637</v>
      </c>
      <c r="E362" s="46" t="s">
        <v>118</v>
      </c>
      <c r="F362" s="46" t="s">
        <v>5638</v>
      </c>
      <c r="G362" s="46" t="s">
        <v>5639</v>
      </c>
      <c r="H362" s="46" t="s">
        <v>5640</v>
      </c>
    </row>
    <row r="363" spans="2:8">
      <c r="B363" s="46" t="s">
        <v>217</v>
      </c>
      <c r="C363" s="46" t="s">
        <v>5641</v>
      </c>
      <c r="D363" s="46" t="s">
        <v>5642</v>
      </c>
    </row>
    <row r="364" spans="2:8">
      <c r="B364" s="46" t="s">
        <v>218</v>
      </c>
      <c r="C364" s="46" t="s">
        <v>5643</v>
      </c>
      <c r="D364" s="46" t="s">
        <v>5644</v>
      </c>
      <c r="E364" s="46" t="s">
        <v>196</v>
      </c>
      <c r="F364" s="46" t="s">
        <v>5645</v>
      </c>
      <c r="G364" s="46" t="s">
        <v>5646</v>
      </c>
      <c r="H364" s="46" t="s">
        <v>5647</v>
      </c>
    </row>
    <row r="365" spans="2:8">
      <c r="B365" s="46" t="s">
        <v>218</v>
      </c>
      <c r="C365" s="46" t="s">
        <v>5648</v>
      </c>
      <c r="D365" s="46" t="s">
        <v>5649</v>
      </c>
      <c r="E365" s="46" t="s">
        <v>112</v>
      </c>
      <c r="F365" s="46" t="s">
        <v>5650</v>
      </c>
      <c r="G365" s="46" t="s">
        <v>5651</v>
      </c>
      <c r="H365" s="46" t="s">
        <v>5652</v>
      </c>
    </row>
    <row r="366" spans="2:8">
      <c r="B366" s="46" t="s">
        <v>218</v>
      </c>
      <c r="C366" s="46" t="s">
        <v>5653</v>
      </c>
      <c r="D366" s="46" t="s">
        <v>5654</v>
      </c>
      <c r="E366" s="46" t="s">
        <v>117</v>
      </c>
      <c r="F366" s="46" t="s">
        <v>5655</v>
      </c>
      <c r="G366" s="46" t="s">
        <v>5656</v>
      </c>
      <c r="H366" s="46" t="s">
        <v>5657</v>
      </c>
    </row>
    <row r="367" spans="2:8">
      <c r="B367" s="46" t="s">
        <v>218</v>
      </c>
      <c r="C367" s="46" t="s">
        <v>5658</v>
      </c>
      <c r="D367" s="46" t="s">
        <v>5659</v>
      </c>
    </row>
    <row r="368" spans="2:8">
      <c r="B368" s="46" t="s">
        <v>219</v>
      </c>
      <c r="C368" s="46" t="s">
        <v>5660</v>
      </c>
      <c r="D368" s="46" t="s">
        <v>5661</v>
      </c>
      <c r="E368" s="46" t="s">
        <v>196</v>
      </c>
      <c r="F368" s="46" t="s">
        <v>5662</v>
      </c>
      <c r="G368" s="46" t="s">
        <v>5663</v>
      </c>
      <c r="H368" s="46" t="s">
        <v>5664</v>
      </c>
    </row>
    <row r="369" spans="2:8">
      <c r="B369" s="46" t="s">
        <v>219</v>
      </c>
      <c r="C369" s="46" t="s">
        <v>5665</v>
      </c>
      <c r="D369" s="46" t="s">
        <v>5666</v>
      </c>
      <c r="E369" s="46" t="s">
        <v>114</v>
      </c>
      <c r="F369" s="46" t="s">
        <v>5667</v>
      </c>
      <c r="G369" s="46" t="s">
        <v>5668</v>
      </c>
      <c r="H369" s="46" t="s">
        <v>5669</v>
      </c>
    </row>
    <row r="370" spans="2:8">
      <c r="B370" s="46" t="s">
        <v>219</v>
      </c>
      <c r="C370" s="46" t="s">
        <v>5670</v>
      </c>
      <c r="D370" s="46" t="s">
        <v>5671</v>
      </c>
      <c r="E370" s="46" t="s">
        <v>119</v>
      </c>
      <c r="F370" s="46" t="s">
        <v>5672</v>
      </c>
      <c r="G370" s="46" t="s">
        <v>5673</v>
      </c>
      <c r="H370" s="46" t="s">
        <v>5674</v>
      </c>
    </row>
    <row r="371" spans="2:8">
      <c r="B371" s="46" t="s">
        <v>219</v>
      </c>
      <c r="C371" s="46" t="s">
        <v>5675</v>
      </c>
      <c r="D371" s="46" t="s">
        <v>5676</v>
      </c>
    </row>
    <row r="372" spans="2:8">
      <c r="B372" s="46" t="s">
        <v>220</v>
      </c>
      <c r="C372" s="46" t="s">
        <v>5677</v>
      </c>
      <c r="D372" s="46" t="s">
        <v>5678</v>
      </c>
      <c r="E372" s="46" t="s">
        <v>131</v>
      </c>
      <c r="F372" s="46" t="s">
        <v>5679</v>
      </c>
      <c r="G372" s="46" t="s">
        <v>5680</v>
      </c>
      <c r="H372" s="46" t="s">
        <v>5681</v>
      </c>
    </row>
    <row r="373" spans="2:8">
      <c r="B373" s="46" t="s">
        <v>220</v>
      </c>
      <c r="C373" s="46" t="s">
        <v>5682</v>
      </c>
      <c r="D373" s="46" t="s">
        <v>5683</v>
      </c>
      <c r="E373" s="46" t="s">
        <v>130</v>
      </c>
      <c r="F373" s="46" t="s">
        <v>5684</v>
      </c>
      <c r="G373" s="46" t="s">
        <v>5685</v>
      </c>
      <c r="H373" s="46" t="s">
        <v>5686</v>
      </c>
    </row>
    <row r="374" spans="2:8">
      <c r="B374" s="46" t="s">
        <v>220</v>
      </c>
      <c r="C374" s="46" t="s">
        <v>5687</v>
      </c>
      <c r="D374" s="46" t="s">
        <v>5688</v>
      </c>
      <c r="E374" s="46" t="s">
        <v>129</v>
      </c>
      <c r="F374" s="46" t="s">
        <v>5689</v>
      </c>
      <c r="G374" s="46" t="s">
        <v>5690</v>
      </c>
      <c r="H374" s="46" t="s">
        <v>5691</v>
      </c>
    </row>
    <row r="375" spans="2:8">
      <c r="B375" s="46" t="s">
        <v>220</v>
      </c>
      <c r="C375" s="46" t="s">
        <v>5692</v>
      </c>
      <c r="D375" s="46" t="s">
        <v>5693</v>
      </c>
      <c r="E375" s="46" t="s">
        <v>196</v>
      </c>
      <c r="F375" s="46" t="s">
        <v>5694</v>
      </c>
      <c r="G375" s="46" t="s">
        <v>5695</v>
      </c>
      <c r="H375" s="46" t="s">
        <v>5696</v>
      </c>
    </row>
    <row r="376" spans="2:8">
      <c r="B376" s="46" t="s">
        <v>220</v>
      </c>
      <c r="C376" s="46" t="s">
        <v>5697</v>
      </c>
      <c r="D376" s="46" t="s">
        <v>5698</v>
      </c>
    </row>
    <row r="377" spans="2:8">
      <c r="B377" s="46" t="s">
        <v>221</v>
      </c>
      <c r="C377" s="46" t="s">
        <v>5699</v>
      </c>
      <c r="D377" s="46" t="s">
        <v>5700</v>
      </c>
      <c r="E377" s="46" t="s">
        <v>128</v>
      </c>
      <c r="F377" s="46" t="s">
        <v>5701</v>
      </c>
      <c r="G377" s="46" t="s">
        <v>5702</v>
      </c>
      <c r="H377" s="46" t="s">
        <v>5703</v>
      </c>
    </row>
    <row r="378" spans="2:8">
      <c r="B378" s="46" t="s">
        <v>221</v>
      </c>
      <c r="C378" s="46" t="s">
        <v>5704</v>
      </c>
      <c r="D378" s="46" t="s">
        <v>5705</v>
      </c>
      <c r="E378" s="46" t="s">
        <v>127</v>
      </c>
      <c r="F378" s="46" t="s">
        <v>5706</v>
      </c>
      <c r="G378" s="46" t="s">
        <v>5707</v>
      </c>
      <c r="H378" s="46" t="s">
        <v>5708</v>
      </c>
    </row>
    <row r="379" spans="2:8">
      <c r="B379" s="46" t="s">
        <v>221</v>
      </c>
      <c r="C379" s="46" t="s">
        <v>5709</v>
      </c>
      <c r="D379" s="46" t="s">
        <v>5710</v>
      </c>
      <c r="E379" s="46" t="s">
        <v>126</v>
      </c>
      <c r="F379" s="46" t="s">
        <v>5711</v>
      </c>
      <c r="G379" s="46" t="s">
        <v>5712</v>
      </c>
      <c r="H379" s="46" t="s">
        <v>5713</v>
      </c>
    </row>
    <row r="380" spans="2:8">
      <c r="B380" s="46" t="s">
        <v>221</v>
      </c>
      <c r="C380" s="46" t="s">
        <v>5714</v>
      </c>
      <c r="D380" s="46" t="s">
        <v>5715</v>
      </c>
      <c r="E380" s="46" t="s">
        <v>196</v>
      </c>
      <c r="F380" s="46" t="s">
        <v>5716</v>
      </c>
      <c r="G380" s="46" t="s">
        <v>5717</v>
      </c>
      <c r="H380" s="46" t="s">
        <v>5718</v>
      </c>
    </row>
    <row r="381" spans="2:8">
      <c r="B381" s="46" t="s">
        <v>221</v>
      </c>
      <c r="C381" s="46" t="s">
        <v>5719</v>
      </c>
      <c r="D381" s="46" t="s">
        <v>5720</v>
      </c>
    </row>
    <row r="382" spans="2:8">
      <c r="B382" s="46" t="s">
        <v>222</v>
      </c>
      <c r="C382" s="46" t="s">
        <v>5721</v>
      </c>
      <c r="D382" s="46" t="s">
        <v>5722</v>
      </c>
      <c r="E382" s="46" t="s">
        <v>196</v>
      </c>
      <c r="F382" s="46" t="s">
        <v>5723</v>
      </c>
      <c r="G382" s="46" t="s">
        <v>5724</v>
      </c>
      <c r="H382" s="46" t="s">
        <v>5725</v>
      </c>
    </row>
    <row r="383" spans="2:8">
      <c r="B383" s="46" t="s">
        <v>222</v>
      </c>
      <c r="C383" s="46" t="s">
        <v>5726</v>
      </c>
      <c r="D383" s="46" t="s">
        <v>5727</v>
      </c>
      <c r="E383" s="46" t="s">
        <v>148</v>
      </c>
      <c r="F383" s="46" t="s">
        <v>5728</v>
      </c>
      <c r="G383" s="46" t="s">
        <v>5729</v>
      </c>
      <c r="H383" s="46" t="s">
        <v>5730</v>
      </c>
    </row>
    <row r="384" spans="2:8">
      <c r="B384" s="46" t="s">
        <v>222</v>
      </c>
      <c r="C384" s="46" t="s">
        <v>5731</v>
      </c>
      <c r="D384" s="46" t="s">
        <v>5732</v>
      </c>
    </row>
    <row r="385" spans="2:8">
      <c r="B385" s="46" t="s">
        <v>223</v>
      </c>
      <c r="C385" s="46" t="s">
        <v>5733</v>
      </c>
      <c r="D385" s="46" t="s">
        <v>5734</v>
      </c>
      <c r="E385" s="46" t="s">
        <v>179</v>
      </c>
      <c r="F385" s="46" t="s">
        <v>5735</v>
      </c>
      <c r="G385" s="46" t="s">
        <v>5736</v>
      </c>
      <c r="H385" s="46" t="s">
        <v>5737</v>
      </c>
    </row>
    <row r="386" spans="2:8">
      <c r="B386" s="46" t="s">
        <v>223</v>
      </c>
      <c r="C386" s="46" t="s">
        <v>5738</v>
      </c>
      <c r="D386" s="46" t="s">
        <v>5739</v>
      </c>
      <c r="E386" s="46" t="s">
        <v>128</v>
      </c>
      <c r="F386" s="46" t="s">
        <v>5740</v>
      </c>
      <c r="G386" s="46" t="s">
        <v>5741</v>
      </c>
      <c r="H386" s="46" t="s">
        <v>5742</v>
      </c>
    </row>
    <row r="387" spans="2:8">
      <c r="B387" s="46" t="s">
        <v>223</v>
      </c>
      <c r="C387" s="46" t="s">
        <v>5743</v>
      </c>
      <c r="D387" s="46" t="s">
        <v>5744</v>
      </c>
    </row>
    <row r="388" spans="2:8">
      <c r="B388" s="46" t="s">
        <v>224</v>
      </c>
      <c r="C388" s="46" t="s">
        <v>5745</v>
      </c>
      <c r="D388" s="46" t="s">
        <v>5746</v>
      </c>
      <c r="E388" s="46" t="s">
        <v>181</v>
      </c>
      <c r="F388" s="46" t="s">
        <v>5747</v>
      </c>
      <c r="G388" s="46" t="s">
        <v>5748</v>
      </c>
      <c r="H388" s="46" t="s">
        <v>5749</v>
      </c>
    </row>
    <row r="389" spans="2:8">
      <c r="B389" s="46" t="s">
        <v>224</v>
      </c>
      <c r="C389" s="46" t="s">
        <v>5750</v>
      </c>
      <c r="D389" s="46" t="s">
        <v>5751</v>
      </c>
      <c r="E389" s="46" t="s">
        <v>127</v>
      </c>
      <c r="F389" s="46" t="s">
        <v>5752</v>
      </c>
      <c r="G389" s="46" t="s">
        <v>5753</v>
      </c>
      <c r="H389" s="46" t="s">
        <v>5754</v>
      </c>
    </row>
    <row r="390" spans="2:8">
      <c r="B390" s="46" t="s">
        <v>224</v>
      </c>
      <c r="C390" s="46" t="s">
        <v>5755</v>
      </c>
      <c r="D390" s="46" t="s">
        <v>5756</v>
      </c>
    </row>
    <row r="391" spans="2:8">
      <c r="B391" s="46" t="s">
        <v>225</v>
      </c>
      <c r="C391" s="46" t="s">
        <v>5757</v>
      </c>
      <c r="D391" s="46" t="s">
        <v>5758</v>
      </c>
      <c r="E391" s="46" t="s">
        <v>181</v>
      </c>
      <c r="F391" s="46" t="s">
        <v>5759</v>
      </c>
      <c r="G391" s="46" t="s">
        <v>5760</v>
      </c>
      <c r="H391" s="46" t="s">
        <v>5761</v>
      </c>
    </row>
    <row r="392" spans="2:8">
      <c r="B392" s="46" t="s">
        <v>225</v>
      </c>
      <c r="C392" s="46" t="s">
        <v>5762</v>
      </c>
      <c r="D392" s="46" t="s">
        <v>5763</v>
      </c>
      <c r="E392" s="46" t="s">
        <v>128</v>
      </c>
      <c r="F392" s="46" t="s">
        <v>5764</v>
      </c>
      <c r="G392" s="46" t="s">
        <v>5765</v>
      </c>
      <c r="H392" s="46" t="s">
        <v>5766</v>
      </c>
    </row>
    <row r="393" spans="2:8">
      <c r="B393" s="46" t="s">
        <v>225</v>
      </c>
      <c r="C393" s="46" t="s">
        <v>5767</v>
      </c>
      <c r="D393" s="46" t="s">
        <v>5768</v>
      </c>
      <c r="E393" s="46" t="s">
        <v>127</v>
      </c>
      <c r="F393" s="46" t="s">
        <v>5769</v>
      </c>
      <c r="G393" s="46" t="s">
        <v>5770</v>
      </c>
      <c r="H393" s="46" t="s">
        <v>1095</v>
      </c>
    </row>
    <row r="394" spans="2:8">
      <c r="B394" s="46" t="s">
        <v>225</v>
      </c>
      <c r="C394" s="46" t="s">
        <v>5771</v>
      </c>
      <c r="D394" s="46" t="s">
        <v>5772</v>
      </c>
      <c r="E394" s="46" t="s">
        <v>126</v>
      </c>
      <c r="F394" s="46" t="s">
        <v>5773</v>
      </c>
      <c r="G394" s="46" t="s">
        <v>5774</v>
      </c>
      <c r="H394" s="46" t="s">
        <v>5775</v>
      </c>
    </row>
    <row r="395" spans="2:8">
      <c r="B395" s="46" t="s">
        <v>225</v>
      </c>
      <c r="C395" s="46" t="s">
        <v>5776</v>
      </c>
      <c r="D395" s="46" t="s">
        <v>5777</v>
      </c>
    </row>
    <row r="396" spans="2:8">
      <c r="B396" s="46" t="s">
        <v>226</v>
      </c>
      <c r="C396" s="46" t="s">
        <v>5778</v>
      </c>
      <c r="D396" s="46" t="s">
        <v>5779</v>
      </c>
      <c r="E396" s="46" t="s">
        <v>179</v>
      </c>
      <c r="F396" s="46" t="s">
        <v>5780</v>
      </c>
      <c r="G396" s="46" t="s">
        <v>5781</v>
      </c>
      <c r="H396" s="46" t="s">
        <v>5782</v>
      </c>
    </row>
    <row r="397" spans="2:8">
      <c r="B397" s="46" t="s">
        <v>226</v>
      </c>
      <c r="C397" s="46" t="s">
        <v>5783</v>
      </c>
      <c r="D397" s="46" t="s">
        <v>5784</v>
      </c>
      <c r="E397" s="46" t="s">
        <v>131</v>
      </c>
      <c r="F397" s="46" t="s">
        <v>5785</v>
      </c>
      <c r="G397" s="46" t="s">
        <v>5786</v>
      </c>
      <c r="H397" s="46" t="s">
        <v>5787</v>
      </c>
    </row>
    <row r="398" spans="2:8">
      <c r="B398" s="46" t="s">
        <v>226</v>
      </c>
      <c r="C398" s="46" t="s">
        <v>5788</v>
      </c>
      <c r="D398" s="46" t="s">
        <v>5789</v>
      </c>
    </row>
    <row r="399" spans="2:8">
      <c r="B399" s="46" t="s">
        <v>227</v>
      </c>
      <c r="C399" s="46" t="s">
        <v>5790</v>
      </c>
      <c r="D399" s="46" t="s">
        <v>5791</v>
      </c>
      <c r="E399" s="46" t="s">
        <v>181</v>
      </c>
      <c r="F399" s="46" t="s">
        <v>5792</v>
      </c>
      <c r="G399" s="46" t="s">
        <v>5793</v>
      </c>
      <c r="H399" s="46" t="s">
        <v>5794</v>
      </c>
    </row>
    <row r="400" spans="2:8">
      <c r="B400" s="46" t="s">
        <v>227</v>
      </c>
      <c r="C400" s="46" t="s">
        <v>5795</v>
      </c>
      <c r="D400" s="46" t="s">
        <v>5796</v>
      </c>
      <c r="E400" s="46" t="s">
        <v>131</v>
      </c>
      <c r="F400" s="46" t="s">
        <v>5797</v>
      </c>
      <c r="G400" s="46" t="s">
        <v>5798</v>
      </c>
      <c r="H400" s="46" t="s">
        <v>5799</v>
      </c>
    </row>
    <row r="401" spans="2:8">
      <c r="B401" s="46" t="s">
        <v>227</v>
      </c>
      <c r="C401" s="46" t="s">
        <v>5800</v>
      </c>
      <c r="D401" s="46" t="s">
        <v>5801</v>
      </c>
      <c r="E401" s="46" t="s">
        <v>130</v>
      </c>
      <c r="F401" s="46" t="s">
        <v>5802</v>
      </c>
      <c r="G401" s="46" t="s">
        <v>5803</v>
      </c>
      <c r="H401" s="46" t="s">
        <v>5804</v>
      </c>
    </row>
    <row r="402" spans="2:8">
      <c r="B402" s="46" t="s">
        <v>227</v>
      </c>
      <c r="C402" s="46" t="s">
        <v>5805</v>
      </c>
      <c r="D402" s="46" t="s">
        <v>5806</v>
      </c>
      <c r="E402" s="46" t="s">
        <v>129</v>
      </c>
      <c r="F402" s="46" t="s">
        <v>5807</v>
      </c>
      <c r="G402" s="46" t="s">
        <v>5808</v>
      </c>
      <c r="H402" s="46" t="s">
        <v>5809</v>
      </c>
    </row>
    <row r="403" spans="2:8">
      <c r="B403" s="46" t="s">
        <v>227</v>
      </c>
      <c r="C403" s="46" t="s">
        <v>5810</v>
      </c>
      <c r="D403" s="46" t="s">
        <v>5811</v>
      </c>
    </row>
    <row r="404" spans="2:8">
      <c r="B404" s="46" t="s">
        <v>228</v>
      </c>
      <c r="C404" s="46" t="s">
        <v>5812</v>
      </c>
      <c r="D404" s="46" t="s">
        <v>5813</v>
      </c>
      <c r="E404" s="46" t="s">
        <v>181</v>
      </c>
      <c r="F404" s="46" t="s">
        <v>5814</v>
      </c>
      <c r="G404" s="46" t="s">
        <v>5815</v>
      </c>
      <c r="H404" s="46" t="s">
        <v>5816</v>
      </c>
    </row>
    <row r="405" spans="2:8">
      <c r="B405" s="46" t="s">
        <v>228</v>
      </c>
      <c r="C405" s="46" t="s">
        <v>5817</v>
      </c>
      <c r="D405" s="46" t="s">
        <v>5818</v>
      </c>
      <c r="E405" s="46" t="s">
        <v>151</v>
      </c>
      <c r="F405" s="46" t="s">
        <v>5819</v>
      </c>
      <c r="G405" s="46" t="s">
        <v>5820</v>
      </c>
      <c r="H405" s="46" t="s">
        <v>5821</v>
      </c>
    </row>
    <row r="406" spans="2:8">
      <c r="B406" s="46" t="s">
        <v>228</v>
      </c>
      <c r="C406" s="46" t="s">
        <v>5822</v>
      </c>
      <c r="D406" s="46" t="s">
        <v>5823</v>
      </c>
    </row>
    <row r="407" spans="2:8">
      <c r="B407" s="46" t="s">
        <v>229</v>
      </c>
      <c r="C407" s="46" t="s">
        <v>5824</v>
      </c>
      <c r="D407" s="46" t="s">
        <v>5825</v>
      </c>
      <c r="E407" s="46" t="s">
        <v>181</v>
      </c>
      <c r="F407" s="46" t="s">
        <v>5826</v>
      </c>
      <c r="G407" s="46" t="s">
        <v>5827</v>
      </c>
      <c r="H407" s="46" t="s">
        <v>5828</v>
      </c>
    </row>
    <row r="408" spans="2:8">
      <c r="B408" s="46" t="s">
        <v>229</v>
      </c>
      <c r="C408" s="46" t="s">
        <v>5829</v>
      </c>
      <c r="D408" s="46" t="s">
        <v>5830</v>
      </c>
      <c r="E408" s="46" t="s">
        <v>149</v>
      </c>
      <c r="F408" s="46" t="s">
        <v>5831</v>
      </c>
      <c r="G408" s="46" t="s">
        <v>5832</v>
      </c>
      <c r="H408" s="46" t="s">
        <v>5833</v>
      </c>
    </row>
    <row r="409" spans="2:8">
      <c r="B409" s="46" t="s">
        <v>229</v>
      </c>
      <c r="C409" s="46" t="s">
        <v>5834</v>
      </c>
      <c r="D409" s="46" t="s">
        <v>5835</v>
      </c>
      <c r="E409" s="46" t="s">
        <v>151</v>
      </c>
      <c r="F409" s="46" t="s">
        <v>5836</v>
      </c>
      <c r="G409" s="46" t="s">
        <v>5837</v>
      </c>
      <c r="H409" s="46" t="s">
        <v>5838</v>
      </c>
    </row>
    <row r="410" spans="2:8">
      <c r="B410" s="46" t="s">
        <v>229</v>
      </c>
      <c r="C410" s="46" t="s">
        <v>5839</v>
      </c>
      <c r="D410" s="46" t="s">
        <v>5840</v>
      </c>
    </row>
    <row r="411" spans="2:8">
      <c r="B411" s="46" t="s">
        <v>230</v>
      </c>
      <c r="C411" s="46" t="s">
        <v>5841</v>
      </c>
      <c r="D411" s="46" t="s">
        <v>5842</v>
      </c>
      <c r="E411" s="46" t="s">
        <v>181</v>
      </c>
      <c r="F411" s="46" t="s">
        <v>5843</v>
      </c>
      <c r="G411" s="46" t="s">
        <v>5844</v>
      </c>
      <c r="H411" s="46" t="s">
        <v>5845</v>
      </c>
    </row>
    <row r="412" spans="2:8">
      <c r="B412" s="46" t="s">
        <v>230</v>
      </c>
      <c r="C412" s="46" t="s">
        <v>5846</v>
      </c>
      <c r="D412" s="46" t="s">
        <v>5847</v>
      </c>
      <c r="E412" s="46" t="s">
        <v>149</v>
      </c>
      <c r="F412" s="46" t="s">
        <v>5848</v>
      </c>
      <c r="G412" s="46" t="s">
        <v>5849</v>
      </c>
      <c r="H412" s="46" t="s">
        <v>5850</v>
      </c>
    </row>
    <row r="413" spans="2:8">
      <c r="B413" s="46" t="s">
        <v>230</v>
      </c>
      <c r="C413" s="46" t="s">
        <v>5851</v>
      </c>
      <c r="D413" s="46" t="s">
        <v>5852</v>
      </c>
    </row>
    <row r="414" spans="2:8">
      <c r="B414" s="46" t="s">
        <v>231</v>
      </c>
      <c r="C414" s="46" t="s">
        <v>5853</v>
      </c>
      <c r="D414" s="46" t="s">
        <v>5854</v>
      </c>
      <c r="E414" s="46" t="s">
        <v>181</v>
      </c>
      <c r="F414" s="46" t="s">
        <v>5855</v>
      </c>
      <c r="G414" s="46" t="s">
        <v>5856</v>
      </c>
      <c r="H414" s="46" t="s">
        <v>5857</v>
      </c>
    </row>
    <row r="415" spans="2:8">
      <c r="B415" s="46" t="s">
        <v>231</v>
      </c>
      <c r="C415" s="46" t="s">
        <v>5858</v>
      </c>
      <c r="D415" s="46" t="s">
        <v>5859</v>
      </c>
      <c r="E415" s="46" t="s">
        <v>155</v>
      </c>
      <c r="F415" s="46" t="s">
        <v>5860</v>
      </c>
      <c r="G415" s="46" t="s">
        <v>5861</v>
      </c>
      <c r="H415" s="46" t="s">
        <v>5862</v>
      </c>
    </row>
    <row r="416" spans="2:8">
      <c r="B416" s="46" t="s">
        <v>231</v>
      </c>
      <c r="C416" s="46" t="s">
        <v>5863</v>
      </c>
      <c r="D416" s="46" t="s">
        <v>5864</v>
      </c>
    </row>
    <row r="417" spans="2:8">
      <c r="B417" s="46" t="s">
        <v>232</v>
      </c>
      <c r="C417" s="46" t="s">
        <v>5865</v>
      </c>
      <c r="D417" s="46" t="s">
        <v>5866</v>
      </c>
      <c r="E417" s="46" t="s">
        <v>181</v>
      </c>
      <c r="F417" s="46" t="s">
        <v>5867</v>
      </c>
      <c r="G417" s="46" t="s">
        <v>5868</v>
      </c>
      <c r="H417" s="46" t="s">
        <v>5869</v>
      </c>
    </row>
    <row r="418" spans="2:8">
      <c r="B418" s="46" t="s">
        <v>232</v>
      </c>
      <c r="C418" s="46" t="s">
        <v>5870</v>
      </c>
      <c r="D418" s="46" t="s">
        <v>5871</v>
      </c>
      <c r="E418" s="46" t="s">
        <v>153</v>
      </c>
      <c r="F418" s="46" t="s">
        <v>5872</v>
      </c>
      <c r="G418" s="46" t="s">
        <v>5873</v>
      </c>
      <c r="H418" s="46" t="s">
        <v>5874</v>
      </c>
    </row>
    <row r="419" spans="2:8">
      <c r="B419" s="46" t="s">
        <v>232</v>
      </c>
      <c r="C419" s="46" t="s">
        <v>5875</v>
      </c>
      <c r="D419" s="46" t="s">
        <v>5876</v>
      </c>
      <c r="E419" s="46" t="s">
        <v>155</v>
      </c>
      <c r="F419" s="46" t="s">
        <v>5877</v>
      </c>
      <c r="G419" s="46" t="s">
        <v>5878</v>
      </c>
      <c r="H419" s="46" t="s">
        <v>5879</v>
      </c>
    </row>
    <row r="420" spans="2:8">
      <c r="B420" s="46" t="s">
        <v>232</v>
      </c>
      <c r="C420" s="46" t="s">
        <v>5880</v>
      </c>
      <c r="D420" s="46" t="s">
        <v>5881</v>
      </c>
    </row>
    <row r="421" spans="2:8">
      <c r="B421" s="46" t="s">
        <v>233</v>
      </c>
      <c r="C421" s="46" t="s">
        <v>5882</v>
      </c>
      <c r="D421" s="46" t="s">
        <v>5883</v>
      </c>
      <c r="E421" s="46" t="s">
        <v>181</v>
      </c>
      <c r="F421" s="46" t="s">
        <v>5884</v>
      </c>
      <c r="G421" s="46" t="s">
        <v>5885</v>
      </c>
      <c r="H421" s="46" t="s">
        <v>5886</v>
      </c>
    </row>
    <row r="422" spans="2:8">
      <c r="B422" s="46" t="s">
        <v>233</v>
      </c>
      <c r="C422" s="46" t="s">
        <v>5887</v>
      </c>
      <c r="D422" s="46" t="s">
        <v>5888</v>
      </c>
      <c r="E422" s="46" t="s">
        <v>153</v>
      </c>
      <c r="F422" s="46" t="s">
        <v>5889</v>
      </c>
      <c r="G422" s="46" t="s">
        <v>5890</v>
      </c>
      <c r="H422" s="46" t="s">
        <v>5891</v>
      </c>
    </row>
    <row r="423" spans="2:8">
      <c r="B423" s="46" t="s">
        <v>233</v>
      </c>
      <c r="C423" s="46" t="s">
        <v>5892</v>
      </c>
      <c r="D423" s="46" t="s">
        <v>5893</v>
      </c>
    </row>
    <row r="424" spans="2:8">
      <c r="B424" s="46" t="s">
        <v>234</v>
      </c>
      <c r="C424" s="46" t="s">
        <v>5894</v>
      </c>
      <c r="D424" s="46" t="s">
        <v>5895</v>
      </c>
      <c r="E424" s="46" t="s">
        <v>181</v>
      </c>
      <c r="F424" s="46" t="s">
        <v>5896</v>
      </c>
      <c r="G424" s="46" t="s">
        <v>5897</v>
      </c>
      <c r="H424" s="46" t="s">
        <v>5898</v>
      </c>
    </row>
    <row r="425" spans="2:8">
      <c r="B425" s="46" t="s">
        <v>234</v>
      </c>
      <c r="C425" s="46" t="s">
        <v>5899</v>
      </c>
      <c r="D425" s="46" t="s">
        <v>5900</v>
      </c>
      <c r="E425" s="46" t="s">
        <v>159</v>
      </c>
      <c r="F425" s="46" t="s">
        <v>5901</v>
      </c>
      <c r="G425" s="46" t="s">
        <v>5902</v>
      </c>
      <c r="H425" s="46" t="s">
        <v>5903</v>
      </c>
    </row>
    <row r="426" spans="2:8">
      <c r="B426" s="46" t="s">
        <v>234</v>
      </c>
      <c r="C426" s="46" t="s">
        <v>5904</v>
      </c>
      <c r="D426" s="46" t="s">
        <v>5905</v>
      </c>
    </row>
    <row r="427" spans="2:8">
      <c r="B427" s="46" t="s">
        <v>235</v>
      </c>
      <c r="C427" s="46" t="s">
        <v>5906</v>
      </c>
      <c r="D427" s="46" t="s">
        <v>5907</v>
      </c>
      <c r="E427" s="46" t="s">
        <v>181</v>
      </c>
      <c r="F427" s="46" t="s">
        <v>5908</v>
      </c>
      <c r="G427" s="46" t="s">
        <v>5909</v>
      </c>
      <c r="H427" s="46" t="s">
        <v>5910</v>
      </c>
    </row>
    <row r="428" spans="2:8">
      <c r="B428" s="46" t="s">
        <v>235</v>
      </c>
      <c r="C428" s="46" t="s">
        <v>5911</v>
      </c>
      <c r="D428" s="46" t="s">
        <v>5912</v>
      </c>
      <c r="E428" s="46" t="s">
        <v>157</v>
      </c>
      <c r="F428" s="46" t="s">
        <v>5913</v>
      </c>
      <c r="G428" s="46" t="s">
        <v>5914</v>
      </c>
      <c r="H428" s="46" t="s">
        <v>5915</v>
      </c>
    </row>
    <row r="429" spans="2:8">
      <c r="B429" s="46" t="s">
        <v>235</v>
      </c>
      <c r="C429" s="46" t="s">
        <v>5916</v>
      </c>
      <c r="D429" s="46" t="s">
        <v>5917</v>
      </c>
      <c r="E429" s="46" t="s">
        <v>159</v>
      </c>
      <c r="F429" s="46" t="s">
        <v>5918</v>
      </c>
      <c r="G429" s="46" t="s">
        <v>5919</v>
      </c>
      <c r="H429" s="46" t="s">
        <v>5920</v>
      </c>
    </row>
    <row r="430" spans="2:8">
      <c r="B430" s="46" t="s">
        <v>235</v>
      </c>
      <c r="C430" s="46" t="s">
        <v>5921</v>
      </c>
      <c r="D430" s="46" t="s">
        <v>5922</v>
      </c>
    </row>
    <row r="431" spans="2:8">
      <c r="B431" s="46" t="s">
        <v>236</v>
      </c>
      <c r="C431" s="46" t="s">
        <v>5923</v>
      </c>
      <c r="D431" s="46" t="s">
        <v>5924</v>
      </c>
      <c r="E431" s="46" t="s">
        <v>181</v>
      </c>
      <c r="F431" s="46" t="s">
        <v>5925</v>
      </c>
      <c r="G431" s="46" t="s">
        <v>5926</v>
      </c>
      <c r="H431" s="46" t="s">
        <v>5927</v>
      </c>
    </row>
    <row r="432" spans="2:8">
      <c r="B432" s="46" t="s">
        <v>236</v>
      </c>
      <c r="C432" s="46" t="s">
        <v>5928</v>
      </c>
      <c r="D432" s="46" t="s">
        <v>5929</v>
      </c>
      <c r="E432" s="46" t="s">
        <v>157</v>
      </c>
      <c r="F432" s="46" t="s">
        <v>5930</v>
      </c>
      <c r="G432" s="46" t="s">
        <v>5931</v>
      </c>
      <c r="H432" s="46" t="s">
        <v>5932</v>
      </c>
    </row>
    <row r="433" spans="2:8">
      <c r="B433" s="46" t="s">
        <v>236</v>
      </c>
      <c r="C433" s="46" t="s">
        <v>5933</v>
      </c>
      <c r="D433" s="46" t="s">
        <v>5934</v>
      </c>
    </row>
    <row r="434" spans="2:8">
      <c r="B434" s="46" t="s">
        <v>237</v>
      </c>
      <c r="C434" s="46" t="s">
        <v>5935</v>
      </c>
      <c r="D434" s="46" t="s">
        <v>5936</v>
      </c>
      <c r="E434" s="46" t="s">
        <v>179</v>
      </c>
      <c r="F434" s="46" t="s">
        <v>5937</v>
      </c>
      <c r="G434" s="46" t="s">
        <v>5938</v>
      </c>
      <c r="H434" s="46" t="s">
        <v>5939</v>
      </c>
    </row>
    <row r="435" spans="2:8">
      <c r="B435" s="46" t="s">
        <v>237</v>
      </c>
      <c r="C435" s="46" t="s">
        <v>5940</v>
      </c>
      <c r="D435" s="46" t="s">
        <v>5941</v>
      </c>
      <c r="E435" s="46" t="s">
        <v>148</v>
      </c>
      <c r="F435" s="46" t="s">
        <v>5942</v>
      </c>
      <c r="G435" s="46" t="s">
        <v>5943</v>
      </c>
      <c r="H435" s="46" t="s">
        <v>5944</v>
      </c>
    </row>
    <row r="436" spans="2:8">
      <c r="B436" s="46" t="s">
        <v>237</v>
      </c>
      <c r="C436" s="46" t="s">
        <v>5945</v>
      </c>
      <c r="D436" s="46" t="s">
        <v>5946</v>
      </c>
    </row>
    <row r="437" spans="2:8">
      <c r="B437" s="46" t="s">
        <v>238</v>
      </c>
      <c r="C437" s="46" t="s">
        <v>5947</v>
      </c>
      <c r="D437" s="46" t="s">
        <v>5948</v>
      </c>
      <c r="E437" s="46" t="s">
        <v>93</v>
      </c>
      <c r="F437" s="46" t="s">
        <v>5949</v>
      </c>
      <c r="G437" s="46" t="s">
        <v>5950</v>
      </c>
      <c r="H437" s="46" t="s">
        <v>5951</v>
      </c>
    </row>
    <row r="438" spans="2:8">
      <c r="B438" s="46" t="s">
        <v>238</v>
      </c>
      <c r="C438" s="46" t="s">
        <v>5952</v>
      </c>
      <c r="D438" s="46" t="s">
        <v>5953</v>
      </c>
      <c r="E438" s="46" t="s">
        <v>94</v>
      </c>
      <c r="F438" s="46" t="s">
        <v>5954</v>
      </c>
      <c r="G438" s="46" t="s">
        <v>5955</v>
      </c>
      <c r="H438" s="46" t="s">
        <v>5956</v>
      </c>
    </row>
    <row r="439" spans="2:8">
      <c r="B439" s="46" t="s">
        <v>238</v>
      </c>
      <c r="C439" s="46" t="s">
        <v>5957</v>
      </c>
      <c r="D439" s="46" t="s">
        <v>5958</v>
      </c>
      <c r="E439" s="46" t="s">
        <v>196</v>
      </c>
      <c r="F439" s="46" t="s">
        <v>5959</v>
      </c>
      <c r="G439" s="46" t="s">
        <v>5960</v>
      </c>
      <c r="H439" s="46" t="s">
        <v>5961</v>
      </c>
    </row>
    <row r="440" spans="2:8">
      <c r="B440" s="46" t="s">
        <v>238</v>
      </c>
      <c r="C440" s="46" t="s">
        <v>5962</v>
      </c>
      <c r="D440" s="46" t="s">
        <v>5963</v>
      </c>
    </row>
    <row r="441" spans="2:8">
      <c r="B441" s="46" t="s">
        <v>239</v>
      </c>
      <c r="C441" s="46" t="s">
        <v>5964</v>
      </c>
      <c r="D441" s="46" t="s">
        <v>5965</v>
      </c>
      <c r="E441" s="46" t="s">
        <v>181</v>
      </c>
      <c r="F441" s="46" t="s">
        <v>5966</v>
      </c>
      <c r="G441" s="46" t="s">
        <v>5967</v>
      </c>
      <c r="H441" s="46" t="s">
        <v>5968</v>
      </c>
    </row>
    <row r="442" spans="2:8">
      <c r="B442" s="46" t="s">
        <v>239</v>
      </c>
      <c r="C442" s="46" t="s">
        <v>5969</v>
      </c>
      <c r="D442" s="46" t="s">
        <v>5970</v>
      </c>
      <c r="E442" s="46" t="s">
        <v>93</v>
      </c>
      <c r="F442" s="46" t="s">
        <v>5971</v>
      </c>
      <c r="G442" s="46" t="s">
        <v>5972</v>
      </c>
      <c r="H442" s="46" t="s">
        <v>5973</v>
      </c>
    </row>
    <row r="443" spans="2:8">
      <c r="B443" s="46" t="s">
        <v>239</v>
      </c>
      <c r="C443" s="46" t="s">
        <v>5974</v>
      </c>
      <c r="D443" s="46" t="s">
        <v>5975</v>
      </c>
      <c r="E443" s="46" t="s">
        <v>94</v>
      </c>
      <c r="F443" s="46" t="s">
        <v>5976</v>
      </c>
      <c r="G443" s="46" t="s">
        <v>5977</v>
      </c>
      <c r="H443" s="46" t="s">
        <v>5978</v>
      </c>
    </row>
    <row r="444" spans="2:8">
      <c r="B444" s="46" t="s">
        <v>239</v>
      </c>
      <c r="C444" s="46" t="s">
        <v>5979</v>
      </c>
      <c r="D444" s="46" t="s">
        <v>5980</v>
      </c>
    </row>
    <row r="445" spans="2:8">
      <c r="B445" s="46" t="s">
        <v>240</v>
      </c>
      <c r="C445" s="46" t="s">
        <v>5981</v>
      </c>
      <c r="D445" s="46" t="s">
        <v>5982</v>
      </c>
      <c r="E445" s="46" t="s">
        <v>181</v>
      </c>
      <c r="F445" s="46" t="s">
        <v>5983</v>
      </c>
      <c r="G445" s="46" t="s">
        <v>5984</v>
      </c>
      <c r="H445" s="46" t="s">
        <v>5985</v>
      </c>
    </row>
    <row r="446" spans="2:8">
      <c r="B446" s="46" t="s">
        <v>240</v>
      </c>
      <c r="C446" s="46" t="s">
        <v>5986</v>
      </c>
      <c r="D446" s="46" t="s">
        <v>5987</v>
      </c>
      <c r="E446" s="46" t="s">
        <v>91</v>
      </c>
      <c r="F446" s="46" t="s">
        <v>5988</v>
      </c>
      <c r="G446" s="46" t="s">
        <v>5989</v>
      </c>
      <c r="H446" s="46" t="s">
        <v>5990</v>
      </c>
    </row>
    <row r="447" spans="2:8">
      <c r="B447" s="46" t="s">
        <v>240</v>
      </c>
      <c r="C447" s="46" t="s">
        <v>5991</v>
      </c>
      <c r="D447" s="46" t="s">
        <v>5992</v>
      </c>
      <c r="E447" s="46" t="s">
        <v>92</v>
      </c>
      <c r="F447" s="46" t="s">
        <v>5993</v>
      </c>
      <c r="G447" s="46" t="s">
        <v>5994</v>
      </c>
      <c r="H447" s="46" t="s">
        <v>5995</v>
      </c>
    </row>
    <row r="448" spans="2:8">
      <c r="B448" s="46" t="s">
        <v>240</v>
      </c>
      <c r="C448" s="46" t="s">
        <v>5996</v>
      </c>
      <c r="D448" s="46" t="s">
        <v>5997</v>
      </c>
    </row>
    <row r="449" spans="2:8">
      <c r="B449" s="46" t="s">
        <v>241</v>
      </c>
      <c r="C449" s="46" t="s">
        <v>5998</v>
      </c>
      <c r="D449" s="46" t="s">
        <v>5999</v>
      </c>
      <c r="E449" s="46" t="s">
        <v>181</v>
      </c>
      <c r="F449" s="46" t="s">
        <v>6000</v>
      </c>
      <c r="G449" s="46" t="s">
        <v>6001</v>
      </c>
      <c r="H449" s="46" t="s">
        <v>6002</v>
      </c>
    </row>
    <row r="450" spans="2:8">
      <c r="B450" s="46" t="s">
        <v>241</v>
      </c>
      <c r="C450" s="46" t="s">
        <v>6003</v>
      </c>
      <c r="D450" s="46" t="s">
        <v>6004</v>
      </c>
      <c r="E450" s="46" t="s">
        <v>101</v>
      </c>
      <c r="F450" s="46" t="s">
        <v>6005</v>
      </c>
      <c r="G450" s="46" t="s">
        <v>6006</v>
      </c>
      <c r="H450" s="46" t="s">
        <v>6007</v>
      </c>
    </row>
    <row r="451" spans="2:8">
      <c r="B451" s="46" t="s">
        <v>241</v>
      </c>
      <c r="C451" s="46" t="s">
        <v>6008</v>
      </c>
      <c r="D451" s="46" t="s">
        <v>6009</v>
      </c>
    </row>
    <row r="452" spans="2:8">
      <c r="B452" s="46" t="s">
        <v>242</v>
      </c>
      <c r="C452" s="46" t="s">
        <v>6010</v>
      </c>
      <c r="D452" s="46" t="s">
        <v>6011</v>
      </c>
      <c r="E452" s="46" t="s">
        <v>181</v>
      </c>
      <c r="F452" s="46" t="s">
        <v>6012</v>
      </c>
      <c r="G452" s="46" t="s">
        <v>6013</v>
      </c>
      <c r="H452" s="46" t="s">
        <v>6014</v>
      </c>
    </row>
    <row r="453" spans="2:8">
      <c r="B453" s="46" t="s">
        <v>242</v>
      </c>
      <c r="C453" s="46" t="s">
        <v>6015</v>
      </c>
      <c r="D453" s="46" t="s">
        <v>6016</v>
      </c>
      <c r="E453" s="46" t="s">
        <v>104</v>
      </c>
      <c r="F453" s="46" t="s">
        <v>6017</v>
      </c>
      <c r="G453" s="46" t="s">
        <v>6018</v>
      </c>
      <c r="H453" s="46" t="s">
        <v>6019</v>
      </c>
    </row>
    <row r="454" spans="2:8">
      <c r="B454" s="46" t="s">
        <v>242</v>
      </c>
      <c r="C454" s="46" t="s">
        <v>6020</v>
      </c>
      <c r="D454" s="46" t="s">
        <v>6021</v>
      </c>
    </row>
    <row r="455" spans="2:8">
      <c r="B455" s="46" t="s">
        <v>243</v>
      </c>
      <c r="C455" s="46" t="s">
        <v>6022</v>
      </c>
      <c r="D455" s="46" t="s">
        <v>6023</v>
      </c>
      <c r="E455" s="46" t="s">
        <v>181</v>
      </c>
      <c r="F455" s="46" t="s">
        <v>6024</v>
      </c>
      <c r="G455" s="46" t="s">
        <v>6025</v>
      </c>
      <c r="H455" s="46" t="s">
        <v>6026</v>
      </c>
    </row>
    <row r="456" spans="2:8">
      <c r="B456" s="46" t="s">
        <v>243</v>
      </c>
      <c r="C456" s="46" t="s">
        <v>6027</v>
      </c>
      <c r="D456" s="46" t="s">
        <v>6028</v>
      </c>
      <c r="E456" s="46" t="s">
        <v>103</v>
      </c>
      <c r="F456" s="46" t="s">
        <v>6029</v>
      </c>
      <c r="G456" s="46" t="s">
        <v>6030</v>
      </c>
      <c r="H456" s="46" t="s">
        <v>6031</v>
      </c>
    </row>
    <row r="457" spans="2:8">
      <c r="B457" s="46" t="s">
        <v>243</v>
      </c>
      <c r="C457" s="46" t="s">
        <v>6032</v>
      </c>
      <c r="D457" s="46" t="s">
        <v>6033</v>
      </c>
    </row>
    <row r="458" spans="2:8">
      <c r="B458" s="46" t="s">
        <v>244</v>
      </c>
      <c r="C458" s="46" t="s">
        <v>6034</v>
      </c>
      <c r="D458" s="46" t="s">
        <v>6035</v>
      </c>
      <c r="E458" s="46" t="s">
        <v>181</v>
      </c>
      <c r="F458" s="46" t="s">
        <v>6036</v>
      </c>
      <c r="G458" s="46" t="s">
        <v>6037</v>
      </c>
      <c r="H458" s="46" t="s">
        <v>6038</v>
      </c>
    </row>
    <row r="459" spans="2:8">
      <c r="B459" s="46" t="s">
        <v>244</v>
      </c>
      <c r="C459" s="46" t="s">
        <v>6039</v>
      </c>
      <c r="D459" s="46" t="s">
        <v>6040</v>
      </c>
      <c r="E459" s="46" t="s">
        <v>105</v>
      </c>
      <c r="F459" s="46" t="s">
        <v>6041</v>
      </c>
      <c r="G459" s="46" t="s">
        <v>6042</v>
      </c>
      <c r="H459" s="46" t="s">
        <v>6043</v>
      </c>
    </row>
    <row r="460" spans="2:8">
      <c r="B460" s="46" t="s">
        <v>244</v>
      </c>
      <c r="C460" s="46" t="s">
        <v>6044</v>
      </c>
      <c r="D460" s="46" t="s">
        <v>6045</v>
      </c>
    </row>
    <row r="461" spans="2:8">
      <c r="B461" s="46" t="s">
        <v>245</v>
      </c>
      <c r="C461" s="46" t="s">
        <v>6046</v>
      </c>
      <c r="D461" s="46" t="s">
        <v>6047</v>
      </c>
      <c r="E461" s="46" t="s">
        <v>181</v>
      </c>
      <c r="F461" s="46" t="s">
        <v>6048</v>
      </c>
      <c r="G461" s="46" t="s">
        <v>6049</v>
      </c>
      <c r="H461" s="46" t="s">
        <v>6050</v>
      </c>
    </row>
    <row r="462" spans="2:8">
      <c r="B462" s="46" t="s">
        <v>245</v>
      </c>
      <c r="C462" s="46" t="s">
        <v>6051</v>
      </c>
      <c r="D462" s="46" t="s">
        <v>6052</v>
      </c>
      <c r="E462" s="46" t="s">
        <v>102</v>
      </c>
      <c r="F462" s="46" t="s">
        <v>6053</v>
      </c>
      <c r="G462" s="46" t="s">
        <v>6054</v>
      </c>
      <c r="H462" s="46" t="s">
        <v>6055</v>
      </c>
    </row>
    <row r="463" spans="2:8">
      <c r="B463" s="46" t="s">
        <v>245</v>
      </c>
      <c r="C463" s="46" t="s">
        <v>6056</v>
      </c>
      <c r="D463" s="46" t="s">
        <v>6057</v>
      </c>
      <c r="E463" s="46" t="s">
        <v>104</v>
      </c>
      <c r="F463" s="46" t="s">
        <v>6058</v>
      </c>
      <c r="G463" s="46" t="s">
        <v>6059</v>
      </c>
      <c r="H463" s="46" t="s">
        <v>6060</v>
      </c>
    </row>
    <row r="464" spans="2:8">
      <c r="B464" s="46" t="s">
        <v>245</v>
      </c>
      <c r="C464" s="46" t="s">
        <v>6061</v>
      </c>
      <c r="D464" s="46" t="s">
        <v>6062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A75281-3E25-415C-B971-29F01380CC13}">
  <dimension ref="A1:O464"/>
  <sheetViews>
    <sheetView workbookViewId="0"/>
  </sheetViews>
  <sheetFormatPr baseColWidth="10" defaultColWidth="9.140625" defaultRowHeight="15"/>
  <sheetData>
    <row r="1" spans="1:15">
      <c r="A1" s="46" t="s">
        <v>2241</v>
      </c>
      <c r="B1" s="46" t="s">
        <v>0</v>
      </c>
      <c r="C1" s="46" t="s">
        <v>0</v>
      </c>
      <c r="D1" s="46" t="s">
        <v>0</v>
      </c>
      <c r="E1" s="46" t="s">
        <v>0</v>
      </c>
      <c r="F1" s="46" t="s">
        <v>0</v>
      </c>
      <c r="G1" s="46" t="s">
        <v>0</v>
      </c>
      <c r="H1" s="46" t="s">
        <v>0</v>
      </c>
      <c r="I1" s="46" t="s">
        <v>0</v>
      </c>
      <c r="J1" s="46" t="s">
        <v>0</v>
      </c>
      <c r="K1" s="46" t="s">
        <v>0</v>
      </c>
      <c r="L1" s="46" t="s">
        <v>0</v>
      </c>
      <c r="M1" s="46" t="s">
        <v>0</v>
      </c>
      <c r="N1" s="46" t="s">
        <v>0</v>
      </c>
      <c r="O1" s="46" t="s">
        <v>0</v>
      </c>
    </row>
    <row r="3" spans="1:15">
      <c r="B3" s="46" t="s">
        <v>1</v>
      </c>
    </row>
    <row r="6" spans="1:15">
      <c r="I6" s="46" t="s">
        <v>2</v>
      </c>
    </row>
    <row r="7" spans="1:15">
      <c r="B7" s="46" t="s">
        <v>3</v>
      </c>
      <c r="C7" s="46" t="s">
        <v>4</v>
      </c>
      <c r="D7" s="46" t="s">
        <v>1040</v>
      </c>
      <c r="E7" s="46" t="s">
        <v>5</v>
      </c>
      <c r="G7" s="46" t="s">
        <v>1041</v>
      </c>
      <c r="H7" s="46" t="s">
        <v>6</v>
      </c>
      <c r="I7" s="46" t="s">
        <v>7</v>
      </c>
      <c r="J7" s="46" t="s">
        <v>8</v>
      </c>
      <c r="K7" s="46" t="s">
        <v>9</v>
      </c>
      <c r="L7" s="46" t="s">
        <v>10</v>
      </c>
      <c r="M7" s="46" t="s">
        <v>11</v>
      </c>
      <c r="N7" s="46" t="s">
        <v>12</v>
      </c>
      <c r="O7" s="46" t="s">
        <v>13</v>
      </c>
    </row>
    <row r="8" spans="1:15">
      <c r="B8" s="46" t="s">
        <v>14</v>
      </c>
      <c r="C8" s="46" t="s">
        <v>1043</v>
      </c>
      <c r="D8" s="46" t="s">
        <v>1043</v>
      </c>
      <c r="E8" s="46" t="s">
        <v>15</v>
      </c>
      <c r="F8" s="46" t="s">
        <v>1043</v>
      </c>
      <c r="G8" s="46" t="s">
        <v>1043</v>
      </c>
      <c r="H8" s="46" t="s">
        <v>1044</v>
      </c>
      <c r="I8" s="46" t="s">
        <v>1045</v>
      </c>
      <c r="J8" s="46" t="s">
        <v>1046</v>
      </c>
      <c r="K8" s="46" t="s">
        <v>1047</v>
      </c>
      <c r="L8" s="46" t="s">
        <v>1048</v>
      </c>
      <c r="M8" s="46" t="s">
        <v>1049</v>
      </c>
      <c r="N8" s="46" t="s">
        <v>1050</v>
      </c>
      <c r="O8" s="46" t="s">
        <v>1051</v>
      </c>
    </row>
    <row r="9" spans="1:15">
      <c r="B9" s="46" t="s">
        <v>14</v>
      </c>
      <c r="C9" s="46" t="s">
        <v>1043</v>
      </c>
      <c r="D9" s="46" t="s">
        <v>1043</v>
      </c>
      <c r="E9" s="46" t="s">
        <v>16</v>
      </c>
      <c r="F9" s="46" t="s">
        <v>1043</v>
      </c>
      <c r="G9" s="46" t="s">
        <v>1043</v>
      </c>
      <c r="H9" s="46" t="s">
        <v>1052</v>
      </c>
      <c r="I9" s="46" t="s">
        <v>1053</v>
      </c>
      <c r="J9" s="46" t="s">
        <v>1054</v>
      </c>
      <c r="K9" s="46" t="s">
        <v>1055</v>
      </c>
      <c r="L9" s="46" t="s">
        <v>1056</v>
      </c>
      <c r="M9" s="46" t="s">
        <v>1057</v>
      </c>
      <c r="N9" s="46" t="s">
        <v>1058</v>
      </c>
      <c r="O9" s="46" t="s">
        <v>1059</v>
      </c>
    </row>
    <row r="10" spans="1:15">
      <c r="B10" s="46" t="s">
        <v>14</v>
      </c>
      <c r="C10" s="46" t="s">
        <v>1043</v>
      </c>
      <c r="D10" s="46" t="s">
        <v>1043</v>
      </c>
      <c r="O10" s="46" t="s">
        <v>1060</v>
      </c>
    </row>
    <row r="11" spans="1:15">
      <c r="B11" s="46" t="s">
        <v>17</v>
      </c>
      <c r="C11" s="46" t="s">
        <v>1043</v>
      </c>
      <c r="D11" s="46" t="s">
        <v>1043</v>
      </c>
      <c r="E11" s="46" t="s">
        <v>18</v>
      </c>
      <c r="F11" s="46" t="s">
        <v>1043</v>
      </c>
      <c r="G11" s="46" t="s">
        <v>1043</v>
      </c>
      <c r="H11" s="46" t="s">
        <v>1061</v>
      </c>
      <c r="I11" s="46" t="s">
        <v>1062</v>
      </c>
      <c r="J11" s="46" t="s">
        <v>1063</v>
      </c>
      <c r="K11" s="46" t="s">
        <v>1064</v>
      </c>
      <c r="L11" s="46" t="s">
        <v>1065</v>
      </c>
      <c r="M11" s="46" t="s">
        <v>1066</v>
      </c>
      <c r="N11" s="46" t="s">
        <v>1067</v>
      </c>
      <c r="O11" s="46" t="s">
        <v>1068</v>
      </c>
    </row>
    <row r="12" spans="1:15">
      <c r="B12" s="46" t="s">
        <v>17</v>
      </c>
      <c r="C12" s="46" t="s">
        <v>1043</v>
      </c>
      <c r="D12" s="46" t="s">
        <v>1043</v>
      </c>
      <c r="E12" s="46" t="s">
        <v>19</v>
      </c>
      <c r="F12" s="46" t="s">
        <v>1043</v>
      </c>
      <c r="G12" s="46" t="s">
        <v>1043</v>
      </c>
      <c r="H12" s="46" t="s">
        <v>1069</v>
      </c>
      <c r="I12" s="46" t="s">
        <v>1070</v>
      </c>
      <c r="J12" s="46" t="s">
        <v>1071</v>
      </c>
      <c r="K12" s="46" t="s">
        <v>1072</v>
      </c>
      <c r="L12" s="46" t="s">
        <v>1073</v>
      </c>
      <c r="M12" s="46" t="s">
        <v>1074</v>
      </c>
      <c r="N12" s="46" t="s">
        <v>1075</v>
      </c>
      <c r="O12" s="46" t="s">
        <v>1076</v>
      </c>
    </row>
    <row r="13" spans="1:15">
      <c r="B13" s="46" t="s">
        <v>17</v>
      </c>
      <c r="C13" s="46" t="s">
        <v>1043</v>
      </c>
      <c r="D13" s="46" t="s">
        <v>1043</v>
      </c>
      <c r="O13" s="46" t="s">
        <v>1077</v>
      </c>
    </row>
    <row r="14" spans="1:15">
      <c r="B14" s="46" t="s">
        <v>20</v>
      </c>
      <c r="C14" s="46" t="s">
        <v>1043</v>
      </c>
      <c r="D14" s="46" t="s">
        <v>1043</v>
      </c>
      <c r="E14" s="46" t="s">
        <v>21</v>
      </c>
      <c r="F14" s="46" t="s">
        <v>1043</v>
      </c>
      <c r="G14" s="46" t="s">
        <v>1043</v>
      </c>
      <c r="H14" s="46" t="s">
        <v>1078</v>
      </c>
      <c r="I14" s="46" t="s">
        <v>1079</v>
      </c>
      <c r="J14" s="46" t="s">
        <v>1080</v>
      </c>
      <c r="K14" s="46" t="s">
        <v>1081</v>
      </c>
      <c r="L14" s="46" t="s">
        <v>1082</v>
      </c>
      <c r="M14" s="46" t="s">
        <v>1083</v>
      </c>
      <c r="N14" s="46" t="s">
        <v>1084</v>
      </c>
      <c r="O14" s="46" t="s">
        <v>1085</v>
      </c>
    </row>
    <row r="15" spans="1:15">
      <c r="B15" s="46" t="s">
        <v>20</v>
      </c>
      <c r="C15" s="46" t="s">
        <v>1043</v>
      </c>
      <c r="D15" s="46" t="s">
        <v>1043</v>
      </c>
      <c r="E15" s="46" t="s">
        <v>22</v>
      </c>
      <c r="F15" s="46" t="s">
        <v>1043</v>
      </c>
      <c r="G15" s="46" t="s">
        <v>1043</v>
      </c>
      <c r="H15" s="46" t="s">
        <v>1086</v>
      </c>
      <c r="I15" s="46" t="s">
        <v>1087</v>
      </c>
      <c r="J15" s="46" t="s">
        <v>1088</v>
      </c>
      <c r="K15" s="46" t="s">
        <v>1089</v>
      </c>
      <c r="L15" s="46" t="s">
        <v>1090</v>
      </c>
      <c r="M15" s="46" t="s">
        <v>1091</v>
      </c>
      <c r="N15" s="46" t="s">
        <v>1092</v>
      </c>
      <c r="O15" s="46" t="s">
        <v>1093</v>
      </c>
    </row>
    <row r="16" spans="1:15">
      <c r="B16" s="46" t="s">
        <v>20</v>
      </c>
      <c r="C16" s="46" t="s">
        <v>1043</v>
      </c>
      <c r="D16" s="46" t="s">
        <v>1043</v>
      </c>
      <c r="O16" s="46" t="s">
        <v>1094</v>
      </c>
    </row>
    <row r="17" spans="2:15">
      <c r="B17" s="46" t="s">
        <v>23</v>
      </c>
      <c r="C17" s="46" t="s">
        <v>1043</v>
      </c>
      <c r="D17" s="46" t="s">
        <v>1043</v>
      </c>
      <c r="H17" s="46" t="s">
        <v>1095</v>
      </c>
      <c r="I17" s="46" t="s">
        <v>1096</v>
      </c>
      <c r="J17" s="46" t="s">
        <v>1097</v>
      </c>
      <c r="K17" s="46" t="s">
        <v>1098</v>
      </c>
      <c r="L17" s="46" t="s">
        <v>1099</v>
      </c>
      <c r="M17" s="46" t="s">
        <v>1100</v>
      </c>
      <c r="N17" s="46" t="s">
        <v>1101</v>
      </c>
      <c r="O17" s="46" t="s">
        <v>1102</v>
      </c>
    </row>
    <row r="18" spans="2:15">
      <c r="B18" s="46" t="s">
        <v>24</v>
      </c>
      <c r="C18" s="46" t="s">
        <v>1043</v>
      </c>
      <c r="D18" s="46" t="s">
        <v>1043</v>
      </c>
      <c r="H18" s="46" t="s">
        <v>1095</v>
      </c>
      <c r="I18" s="46" t="s">
        <v>1103</v>
      </c>
      <c r="J18" s="46" t="s">
        <v>1104</v>
      </c>
      <c r="K18" s="46" t="s">
        <v>1105</v>
      </c>
      <c r="L18" s="46" t="s">
        <v>1106</v>
      </c>
      <c r="M18" s="46" t="s">
        <v>1107</v>
      </c>
      <c r="N18" s="46" t="s">
        <v>1108</v>
      </c>
      <c r="O18" s="46" t="s">
        <v>1109</v>
      </c>
    </row>
    <row r="19" spans="2:15">
      <c r="B19" s="46" t="s">
        <v>25</v>
      </c>
      <c r="C19" s="46" t="s">
        <v>1043</v>
      </c>
      <c r="D19" s="46" t="s">
        <v>1043</v>
      </c>
      <c r="E19" s="46" t="s">
        <v>26</v>
      </c>
      <c r="F19" s="46" t="s">
        <v>1043</v>
      </c>
      <c r="G19" s="46" t="s">
        <v>1043</v>
      </c>
      <c r="H19" s="46" t="s">
        <v>1110</v>
      </c>
      <c r="I19" s="46" t="s">
        <v>1111</v>
      </c>
      <c r="J19" s="46" t="s">
        <v>1112</v>
      </c>
      <c r="K19" s="46" t="s">
        <v>1113</v>
      </c>
      <c r="L19" s="46" t="s">
        <v>1114</v>
      </c>
      <c r="M19" s="46" t="s">
        <v>1115</v>
      </c>
      <c r="N19" s="46" t="s">
        <v>1116</v>
      </c>
      <c r="O19" s="46" t="s">
        <v>1117</v>
      </c>
    </row>
    <row r="20" spans="2:15">
      <c r="B20" s="46" t="s">
        <v>25</v>
      </c>
      <c r="C20" s="46" t="s">
        <v>1043</v>
      </c>
      <c r="D20" s="46" t="s">
        <v>1043</v>
      </c>
      <c r="E20" s="46" t="s">
        <v>27</v>
      </c>
      <c r="F20" s="46" t="s">
        <v>1043</v>
      </c>
      <c r="G20" s="46" t="s">
        <v>1043</v>
      </c>
      <c r="H20" s="46" t="s">
        <v>1118</v>
      </c>
      <c r="I20" s="46" t="s">
        <v>1119</v>
      </c>
      <c r="J20" s="46" t="s">
        <v>1120</v>
      </c>
      <c r="K20" s="46" t="s">
        <v>1121</v>
      </c>
      <c r="L20" s="46" t="s">
        <v>1122</v>
      </c>
      <c r="M20" s="46" t="s">
        <v>1123</v>
      </c>
      <c r="N20" s="46" t="s">
        <v>1124</v>
      </c>
      <c r="O20" s="46" t="s">
        <v>1125</v>
      </c>
    </row>
    <row r="21" spans="2:15">
      <c r="B21" s="46" t="s">
        <v>25</v>
      </c>
      <c r="C21" s="46" t="s">
        <v>1043</v>
      </c>
      <c r="D21" s="46" t="s">
        <v>1043</v>
      </c>
      <c r="O21" s="46" t="s">
        <v>1126</v>
      </c>
    </row>
    <row r="22" spans="2:15">
      <c r="B22" s="46" t="s">
        <v>28</v>
      </c>
      <c r="C22" s="46" t="s">
        <v>1043</v>
      </c>
      <c r="D22" s="46" t="s">
        <v>1043</v>
      </c>
      <c r="E22" s="46" t="s">
        <v>29</v>
      </c>
      <c r="F22" s="46" t="s">
        <v>1043</v>
      </c>
      <c r="G22" s="46" t="s">
        <v>1043</v>
      </c>
      <c r="H22" s="46" t="s">
        <v>1127</v>
      </c>
      <c r="I22" s="46" t="s">
        <v>1128</v>
      </c>
      <c r="J22" s="46" t="s">
        <v>1129</v>
      </c>
      <c r="K22" s="46" t="s">
        <v>1130</v>
      </c>
      <c r="L22" s="46" t="s">
        <v>1131</v>
      </c>
      <c r="M22" s="46" t="s">
        <v>1132</v>
      </c>
      <c r="N22" s="46" t="s">
        <v>1133</v>
      </c>
      <c r="O22" s="46" t="s">
        <v>1134</v>
      </c>
    </row>
    <row r="23" spans="2:15">
      <c r="B23" s="46" t="s">
        <v>28</v>
      </c>
      <c r="C23" s="46" t="s">
        <v>1043</v>
      </c>
      <c r="D23" s="46" t="s">
        <v>1043</v>
      </c>
      <c r="E23" s="46" t="s">
        <v>27</v>
      </c>
      <c r="F23" s="46" t="s">
        <v>1043</v>
      </c>
      <c r="G23" s="46" t="s">
        <v>1043</v>
      </c>
      <c r="H23" s="46" t="s">
        <v>1135</v>
      </c>
      <c r="I23" s="46" t="s">
        <v>1136</v>
      </c>
      <c r="J23" s="46" t="s">
        <v>1137</v>
      </c>
      <c r="K23" s="46" t="s">
        <v>1138</v>
      </c>
      <c r="L23" s="46" t="s">
        <v>1139</v>
      </c>
      <c r="M23" s="46" t="s">
        <v>1140</v>
      </c>
      <c r="N23" s="46" t="s">
        <v>1141</v>
      </c>
      <c r="O23" s="46" t="s">
        <v>1142</v>
      </c>
    </row>
    <row r="24" spans="2:15">
      <c r="B24" s="46" t="s">
        <v>28</v>
      </c>
      <c r="C24" s="46" t="s">
        <v>1043</v>
      </c>
      <c r="D24" s="46" t="s">
        <v>1043</v>
      </c>
      <c r="O24" s="46" t="s">
        <v>1143</v>
      </c>
    </row>
    <row r="25" spans="2:15">
      <c r="B25" s="46" t="s">
        <v>30</v>
      </c>
      <c r="C25" s="46" t="s">
        <v>1043</v>
      </c>
      <c r="D25" s="46" t="s">
        <v>1043</v>
      </c>
      <c r="E25" s="46" t="s">
        <v>31</v>
      </c>
      <c r="F25" s="46" t="s">
        <v>1043</v>
      </c>
      <c r="G25" s="46" t="s">
        <v>1043</v>
      </c>
      <c r="H25" s="46" t="s">
        <v>1144</v>
      </c>
      <c r="I25" s="46" t="s">
        <v>1145</v>
      </c>
      <c r="J25" s="46" t="s">
        <v>1146</v>
      </c>
      <c r="K25" s="46" t="s">
        <v>1147</v>
      </c>
      <c r="L25" s="46" t="s">
        <v>1148</v>
      </c>
      <c r="M25" s="46" t="s">
        <v>1149</v>
      </c>
      <c r="N25" s="46" t="s">
        <v>1150</v>
      </c>
      <c r="O25" s="46" t="s">
        <v>1151</v>
      </c>
    </row>
    <row r="26" spans="2:15">
      <c r="B26" s="46" t="s">
        <v>30</v>
      </c>
      <c r="C26" s="46" t="s">
        <v>1043</v>
      </c>
      <c r="D26" s="46" t="s">
        <v>1043</v>
      </c>
      <c r="E26" s="46" t="s">
        <v>27</v>
      </c>
      <c r="F26" s="46" t="s">
        <v>1043</v>
      </c>
      <c r="G26" s="46" t="s">
        <v>1043</v>
      </c>
      <c r="H26" s="46" t="s">
        <v>1152</v>
      </c>
      <c r="I26" s="46" t="s">
        <v>1153</v>
      </c>
      <c r="J26" s="46" t="s">
        <v>1154</v>
      </c>
      <c r="K26" s="46" t="s">
        <v>1155</v>
      </c>
      <c r="L26" s="46" t="s">
        <v>1156</v>
      </c>
      <c r="M26" s="46" t="s">
        <v>1157</v>
      </c>
      <c r="N26" s="46" t="s">
        <v>1158</v>
      </c>
      <c r="O26" s="46" t="s">
        <v>1159</v>
      </c>
    </row>
    <row r="27" spans="2:15">
      <c r="B27" s="46" t="s">
        <v>30</v>
      </c>
      <c r="C27" s="46" t="s">
        <v>1043</v>
      </c>
      <c r="D27" s="46" t="s">
        <v>1043</v>
      </c>
      <c r="O27" s="46" t="s">
        <v>1160</v>
      </c>
    </row>
    <row r="28" spans="2:15">
      <c r="B28" s="46" t="s">
        <v>32</v>
      </c>
      <c r="C28" s="46" t="s">
        <v>1043</v>
      </c>
      <c r="D28" s="46" t="s">
        <v>1043</v>
      </c>
      <c r="E28" s="46" t="s">
        <v>33</v>
      </c>
      <c r="F28" s="46" t="s">
        <v>1043</v>
      </c>
      <c r="G28" s="46" t="s">
        <v>1043</v>
      </c>
      <c r="H28" s="46" t="s">
        <v>1161</v>
      </c>
      <c r="I28" s="46" t="s">
        <v>1162</v>
      </c>
      <c r="J28" s="46" t="s">
        <v>1163</v>
      </c>
      <c r="K28" s="46" t="s">
        <v>1164</v>
      </c>
      <c r="L28" s="46" t="s">
        <v>1165</v>
      </c>
      <c r="M28" s="46" t="s">
        <v>1166</v>
      </c>
      <c r="N28" s="46" t="s">
        <v>1167</v>
      </c>
      <c r="O28" s="46" t="s">
        <v>1168</v>
      </c>
    </row>
    <row r="29" spans="2:15">
      <c r="B29" s="46" t="s">
        <v>32</v>
      </c>
      <c r="C29" s="46" t="s">
        <v>1043</v>
      </c>
      <c r="D29" s="46" t="s">
        <v>1043</v>
      </c>
      <c r="E29" s="46" t="s">
        <v>34</v>
      </c>
      <c r="F29" s="46" t="s">
        <v>1043</v>
      </c>
      <c r="G29" s="46" t="s">
        <v>1043</v>
      </c>
      <c r="H29" s="46" t="s">
        <v>1169</v>
      </c>
      <c r="I29" s="46" t="s">
        <v>1170</v>
      </c>
      <c r="J29" s="46" t="s">
        <v>1171</v>
      </c>
      <c r="K29" s="46" t="s">
        <v>1172</v>
      </c>
      <c r="L29" s="46" t="s">
        <v>1173</v>
      </c>
      <c r="M29" s="46" t="s">
        <v>1174</v>
      </c>
      <c r="N29" s="46" t="s">
        <v>1175</v>
      </c>
      <c r="O29" s="46" t="s">
        <v>1176</v>
      </c>
    </row>
    <row r="30" spans="2:15">
      <c r="B30" s="46" t="s">
        <v>32</v>
      </c>
      <c r="C30" s="46" t="s">
        <v>1043</v>
      </c>
      <c r="D30" s="46" t="s">
        <v>1043</v>
      </c>
      <c r="O30" s="46" t="s">
        <v>1177</v>
      </c>
    </row>
    <row r="31" spans="2:15">
      <c r="B31" s="46" t="s">
        <v>35</v>
      </c>
      <c r="C31" s="46" t="s">
        <v>1043</v>
      </c>
      <c r="D31" s="46" t="s">
        <v>1043</v>
      </c>
      <c r="E31" s="46" t="s">
        <v>36</v>
      </c>
      <c r="F31" s="46" t="s">
        <v>1043</v>
      </c>
      <c r="G31" s="46" t="s">
        <v>1043</v>
      </c>
      <c r="H31" s="46" t="s">
        <v>1178</v>
      </c>
      <c r="I31" s="46" t="s">
        <v>1179</v>
      </c>
      <c r="J31" s="46" t="s">
        <v>1180</v>
      </c>
      <c r="K31" s="46" t="s">
        <v>1181</v>
      </c>
      <c r="L31" s="46" t="s">
        <v>1182</v>
      </c>
      <c r="M31" s="46" t="s">
        <v>1183</v>
      </c>
      <c r="N31" s="46" t="s">
        <v>1184</v>
      </c>
      <c r="O31" s="46" t="s">
        <v>1185</v>
      </c>
    </row>
    <row r="32" spans="2:15">
      <c r="B32" s="46" t="s">
        <v>35</v>
      </c>
      <c r="C32" s="46" t="s">
        <v>1043</v>
      </c>
      <c r="D32" s="46" t="s">
        <v>1043</v>
      </c>
      <c r="E32" s="46" t="s">
        <v>27</v>
      </c>
      <c r="F32" s="46" t="s">
        <v>1043</v>
      </c>
      <c r="G32" s="46" t="s">
        <v>1043</v>
      </c>
      <c r="H32" s="46" t="s">
        <v>1186</v>
      </c>
      <c r="I32" s="46" t="s">
        <v>1187</v>
      </c>
      <c r="J32" s="46" t="s">
        <v>1188</v>
      </c>
      <c r="K32" s="46" t="s">
        <v>1189</v>
      </c>
      <c r="L32" s="46" t="s">
        <v>1190</v>
      </c>
      <c r="M32" s="46" t="s">
        <v>1191</v>
      </c>
      <c r="N32" s="46" t="s">
        <v>1192</v>
      </c>
      <c r="O32" s="46" t="s">
        <v>1193</v>
      </c>
    </row>
    <row r="33" spans="2:15">
      <c r="B33" s="46" t="s">
        <v>35</v>
      </c>
      <c r="C33" s="46" t="s">
        <v>1043</v>
      </c>
      <c r="D33" s="46" t="s">
        <v>1043</v>
      </c>
      <c r="O33" s="46" t="s">
        <v>1194</v>
      </c>
    </row>
    <row r="34" spans="2:15">
      <c r="B34" s="46" t="s">
        <v>37</v>
      </c>
      <c r="C34" s="46" t="s">
        <v>1043</v>
      </c>
      <c r="D34" s="46" t="s">
        <v>1043</v>
      </c>
      <c r="E34" s="46" t="s">
        <v>38</v>
      </c>
      <c r="F34" s="46" t="s">
        <v>1043</v>
      </c>
      <c r="G34" s="46" t="s">
        <v>1043</v>
      </c>
      <c r="H34" s="46" t="s">
        <v>1195</v>
      </c>
      <c r="I34" s="46" t="s">
        <v>1196</v>
      </c>
      <c r="J34" s="46" t="s">
        <v>1197</v>
      </c>
      <c r="K34" s="46" t="s">
        <v>1198</v>
      </c>
      <c r="L34" s="46" t="s">
        <v>1199</v>
      </c>
      <c r="M34" s="46" t="s">
        <v>1200</v>
      </c>
      <c r="N34" s="46" t="s">
        <v>1201</v>
      </c>
      <c r="O34" s="46" t="s">
        <v>1202</v>
      </c>
    </row>
    <row r="35" spans="2:15">
      <c r="B35" s="46" t="s">
        <v>37</v>
      </c>
      <c r="C35" s="46" t="s">
        <v>1043</v>
      </c>
      <c r="D35" s="46" t="s">
        <v>1043</v>
      </c>
      <c r="E35" s="46" t="s">
        <v>27</v>
      </c>
      <c r="F35" s="46" t="s">
        <v>1043</v>
      </c>
      <c r="G35" s="46" t="s">
        <v>1043</v>
      </c>
      <c r="H35" s="46" t="s">
        <v>1203</v>
      </c>
      <c r="I35" s="46" t="s">
        <v>1204</v>
      </c>
      <c r="J35" s="46" t="s">
        <v>1205</v>
      </c>
      <c r="K35" s="46" t="s">
        <v>1206</v>
      </c>
      <c r="L35" s="46" t="s">
        <v>1207</v>
      </c>
      <c r="M35" s="46" t="s">
        <v>1208</v>
      </c>
      <c r="N35" s="46" t="s">
        <v>1209</v>
      </c>
      <c r="O35" s="46" t="s">
        <v>1210</v>
      </c>
    </row>
    <row r="36" spans="2:15">
      <c r="B36" s="46" t="s">
        <v>37</v>
      </c>
      <c r="C36" s="46" t="s">
        <v>1043</v>
      </c>
      <c r="D36" s="46" t="s">
        <v>1043</v>
      </c>
      <c r="O36" s="46" t="s">
        <v>1211</v>
      </c>
    </row>
    <row r="37" spans="2:15">
      <c r="B37" s="46" t="s">
        <v>39</v>
      </c>
      <c r="C37" s="46" t="s">
        <v>1043</v>
      </c>
      <c r="D37" s="46" t="s">
        <v>1043</v>
      </c>
      <c r="E37" s="46" t="s">
        <v>40</v>
      </c>
      <c r="F37" s="46" t="s">
        <v>1043</v>
      </c>
      <c r="G37" s="46" t="s">
        <v>1043</v>
      </c>
      <c r="H37" s="46" t="s">
        <v>1212</v>
      </c>
      <c r="I37" s="46" t="s">
        <v>1213</v>
      </c>
      <c r="J37" s="46" t="s">
        <v>1214</v>
      </c>
      <c r="K37" s="46" t="s">
        <v>1215</v>
      </c>
      <c r="L37" s="46" t="s">
        <v>1216</v>
      </c>
      <c r="M37" s="46" t="s">
        <v>1217</v>
      </c>
      <c r="N37" s="46" t="s">
        <v>1218</v>
      </c>
      <c r="O37" s="46" t="s">
        <v>1219</v>
      </c>
    </row>
    <row r="38" spans="2:15">
      <c r="B38" s="46" t="s">
        <v>39</v>
      </c>
      <c r="C38" s="46" t="s">
        <v>1043</v>
      </c>
      <c r="D38" s="46" t="s">
        <v>1043</v>
      </c>
      <c r="E38" s="46" t="s">
        <v>27</v>
      </c>
      <c r="F38" s="46" t="s">
        <v>1043</v>
      </c>
      <c r="G38" s="46" t="s">
        <v>1043</v>
      </c>
      <c r="H38" s="46" t="s">
        <v>1220</v>
      </c>
      <c r="I38" s="46" t="s">
        <v>1221</v>
      </c>
      <c r="J38" s="46" t="s">
        <v>1222</v>
      </c>
      <c r="K38" s="46" t="s">
        <v>1223</v>
      </c>
      <c r="L38" s="46" t="s">
        <v>1224</v>
      </c>
      <c r="M38" s="46" t="s">
        <v>1225</v>
      </c>
      <c r="N38" s="46" t="s">
        <v>1226</v>
      </c>
      <c r="O38" s="46" t="s">
        <v>1227</v>
      </c>
    </row>
    <row r="39" spans="2:15">
      <c r="B39" s="46" t="s">
        <v>39</v>
      </c>
      <c r="C39" s="46" t="s">
        <v>1043</v>
      </c>
      <c r="D39" s="46" t="s">
        <v>1043</v>
      </c>
      <c r="O39" s="46" t="s">
        <v>1228</v>
      </c>
    </row>
    <row r="40" spans="2:15">
      <c r="B40" s="46" t="s">
        <v>41</v>
      </c>
      <c r="C40" s="46" t="s">
        <v>1043</v>
      </c>
      <c r="D40" s="46" t="s">
        <v>1043</v>
      </c>
      <c r="E40" s="46" t="s">
        <v>42</v>
      </c>
      <c r="F40" s="46" t="s">
        <v>1043</v>
      </c>
      <c r="G40" s="46" t="s">
        <v>1043</v>
      </c>
      <c r="H40" s="46" t="s">
        <v>1229</v>
      </c>
      <c r="I40" s="46" t="s">
        <v>1230</v>
      </c>
      <c r="J40" s="46" t="s">
        <v>1231</v>
      </c>
      <c r="K40" s="46" t="s">
        <v>1232</v>
      </c>
      <c r="L40" s="46" t="s">
        <v>1233</v>
      </c>
      <c r="M40" s="46" t="s">
        <v>1234</v>
      </c>
      <c r="N40" s="46" t="s">
        <v>1235</v>
      </c>
      <c r="O40" s="46" t="s">
        <v>1236</v>
      </c>
    </row>
    <row r="41" spans="2:15">
      <c r="B41" s="46" t="s">
        <v>41</v>
      </c>
      <c r="C41" s="46" t="s">
        <v>1043</v>
      </c>
      <c r="D41" s="46" t="s">
        <v>1043</v>
      </c>
      <c r="E41" s="46" t="s">
        <v>43</v>
      </c>
      <c r="F41" s="46" t="s">
        <v>1043</v>
      </c>
      <c r="G41" s="46" t="s">
        <v>1043</v>
      </c>
      <c r="H41" s="46" t="s">
        <v>1237</v>
      </c>
      <c r="I41" s="46" t="s">
        <v>1238</v>
      </c>
      <c r="J41" s="46" t="s">
        <v>1239</v>
      </c>
      <c r="K41" s="46" t="s">
        <v>1240</v>
      </c>
      <c r="L41" s="46" t="s">
        <v>1241</v>
      </c>
      <c r="M41" s="46" t="s">
        <v>1242</v>
      </c>
      <c r="N41" s="46" t="s">
        <v>1243</v>
      </c>
      <c r="O41" s="46" t="s">
        <v>1244</v>
      </c>
    </row>
    <row r="42" spans="2:15">
      <c r="B42" s="46" t="s">
        <v>41</v>
      </c>
      <c r="C42" s="46" t="s">
        <v>1043</v>
      </c>
      <c r="D42" s="46" t="s">
        <v>1043</v>
      </c>
      <c r="O42" s="46" t="s">
        <v>1245</v>
      </c>
    </row>
    <row r="43" spans="2:15">
      <c r="B43" s="46" t="s">
        <v>44</v>
      </c>
      <c r="C43" s="46" t="s">
        <v>1043</v>
      </c>
      <c r="D43" s="46" t="s">
        <v>1043</v>
      </c>
      <c r="E43" s="46" t="s">
        <v>45</v>
      </c>
      <c r="F43" s="46" t="s">
        <v>1043</v>
      </c>
      <c r="G43" s="46" t="s">
        <v>1043</v>
      </c>
      <c r="H43" s="46" t="s">
        <v>1246</v>
      </c>
      <c r="I43" s="46" t="s">
        <v>1247</v>
      </c>
      <c r="J43" s="46" t="s">
        <v>1248</v>
      </c>
      <c r="K43" s="46" t="s">
        <v>1249</v>
      </c>
      <c r="L43" s="46" t="s">
        <v>1250</v>
      </c>
      <c r="M43" s="46" t="s">
        <v>1251</v>
      </c>
      <c r="N43" s="46" t="s">
        <v>1252</v>
      </c>
      <c r="O43" s="46" t="s">
        <v>1253</v>
      </c>
    </row>
    <row r="44" spans="2:15">
      <c r="B44" s="46" t="s">
        <v>44</v>
      </c>
      <c r="C44" s="46" t="s">
        <v>1043</v>
      </c>
      <c r="D44" s="46" t="s">
        <v>1043</v>
      </c>
      <c r="E44" s="46" t="s">
        <v>34</v>
      </c>
      <c r="F44" s="46" t="s">
        <v>1043</v>
      </c>
      <c r="G44" s="46" t="s">
        <v>1043</v>
      </c>
      <c r="H44" s="46" t="s">
        <v>1254</v>
      </c>
      <c r="I44" s="46" t="s">
        <v>1255</v>
      </c>
      <c r="J44" s="46" t="s">
        <v>1256</v>
      </c>
      <c r="K44" s="46" t="s">
        <v>1257</v>
      </c>
      <c r="L44" s="46" t="s">
        <v>1258</v>
      </c>
      <c r="M44" s="46" t="s">
        <v>1259</v>
      </c>
      <c r="N44" s="46" t="s">
        <v>1260</v>
      </c>
      <c r="O44" s="46" t="s">
        <v>1261</v>
      </c>
    </row>
    <row r="45" spans="2:15">
      <c r="B45" s="46" t="s">
        <v>44</v>
      </c>
      <c r="C45" s="46" t="s">
        <v>1043</v>
      </c>
      <c r="D45" s="46" t="s">
        <v>1043</v>
      </c>
      <c r="O45" s="46" t="s">
        <v>1262</v>
      </c>
    </row>
    <row r="46" spans="2:15">
      <c r="B46" s="46" t="s">
        <v>46</v>
      </c>
      <c r="C46" s="46" t="s">
        <v>1043</v>
      </c>
      <c r="D46" s="46" t="s">
        <v>1043</v>
      </c>
      <c r="E46" s="46" t="s">
        <v>27</v>
      </c>
      <c r="F46" s="46" t="s">
        <v>1043</v>
      </c>
      <c r="G46" s="46" t="s">
        <v>1043</v>
      </c>
      <c r="H46" s="46" t="s">
        <v>1263</v>
      </c>
      <c r="I46" s="46" t="s">
        <v>1264</v>
      </c>
      <c r="J46" s="46" t="s">
        <v>1265</v>
      </c>
      <c r="K46" s="46" t="s">
        <v>1266</v>
      </c>
      <c r="L46" s="46" t="s">
        <v>1267</v>
      </c>
      <c r="M46" s="46" t="s">
        <v>1268</v>
      </c>
      <c r="N46" s="46" t="s">
        <v>1269</v>
      </c>
      <c r="O46" s="46" t="s">
        <v>1270</v>
      </c>
    </row>
    <row r="47" spans="2:15">
      <c r="B47" s="46" t="s">
        <v>46</v>
      </c>
      <c r="C47" s="46" t="s">
        <v>1043</v>
      </c>
      <c r="D47" s="46" t="s">
        <v>1043</v>
      </c>
      <c r="E47" s="46" t="s">
        <v>47</v>
      </c>
      <c r="F47" s="46" t="s">
        <v>1043</v>
      </c>
      <c r="G47" s="46" t="s">
        <v>1043</v>
      </c>
      <c r="H47" s="46" t="s">
        <v>1271</v>
      </c>
      <c r="I47" s="46" t="s">
        <v>1272</v>
      </c>
      <c r="J47" s="46" t="s">
        <v>1273</v>
      </c>
      <c r="K47" s="46" t="s">
        <v>1274</v>
      </c>
      <c r="L47" s="46" t="s">
        <v>1275</v>
      </c>
      <c r="M47" s="46" t="s">
        <v>1276</v>
      </c>
      <c r="N47" s="46" t="s">
        <v>1277</v>
      </c>
      <c r="O47" s="46" t="s">
        <v>1278</v>
      </c>
    </row>
    <row r="48" spans="2:15">
      <c r="B48" s="46" t="s">
        <v>46</v>
      </c>
      <c r="C48" s="46" t="s">
        <v>1043</v>
      </c>
      <c r="D48" s="46" t="s">
        <v>1043</v>
      </c>
      <c r="O48" s="46" t="s">
        <v>1279</v>
      </c>
    </row>
    <row r="49" spans="2:15">
      <c r="B49" s="46" t="s">
        <v>48</v>
      </c>
      <c r="C49" s="46" t="s">
        <v>1043</v>
      </c>
      <c r="D49" s="46" t="s">
        <v>1043</v>
      </c>
      <c r="E49" s="46" t="s">
        <v>49</v>
      </c>
      <c r="F49" s="46" t="s">
        <v>1043</v>
      </c>
      <c r="G49" s="46" t="s">
        <v>1043</v>
      </c>
      <c r="H49" s="46" t="s">
        <v>1280</v>
      </c>
      <c r="I49" s="46" t="s">
        <v>1281</v>
      </c>
      <c r="J49" s="46" t="s">
        <v>1282</v>
      </c>
      <c r="K49" s="46" t="s">
        <v>1283</v>
      </c>
      <c r="L49" s="46" t="s">
        <v>1284</v>
      </c>
      <c r="M49" s="46" t="s">
        <v>1285</v>
      </c>
      <c r="N49" s="46" t="s">
        <v>1286</v>
      </c>
      <c r="O49" s="46" t="s">
        <v>1287</v>
      </c>
    </row>
    <row r="50" spans="2:15">
      <c r="B50" s="46" t="s">
        <v>48</v>
      </c>
      <c r="C50" s="46" t="s">
        <v>1043</v>
      </c>
      <c r="D50" s="46" t="s">
        <v>1043</v>
      </c>
      <c r="E50" s="46" t="s">
        <v>27</v>
      </c>
      <c r="F50" s="46" t="s">
        <v>1043</v>
      </c>
      <c r="G50" s="46" t="s">
        <v>1043</v>
      </c>
      <c r="H50" s="46" t="s">
        <v>1288</v>
      </c>
      <c r="I50" s="46" t="s">
        <v>1289</v>
      </c>
      <c r="J50" s="46" t="s">
        <v>1290</v>
      </c>
      <c r="K50" s="46" t="s">
        <v>1291</v>
      </c>
      <c r="L50" s="46" t="s">
        <v>1292</v>
      </c>
      <c r="M50" s="46" t="s">
        <v>1293</v>
      </c>
      <c r="N50" s="46" t="s">
        <v>1294</v>
      </c>
      <c r="O50" s="46" t="s">
        <v>1295</v>
      </c>
    </row>
    <row r="51" spans="2:15">
      <c r="B51" s="46" t="s">
        <v>48</v>
      </c>
      <c r="C51" s="46" t="s">
        <v>1043</v>
      </c>
      <c r="D51" s="46" t="s">
        <v>1043</v>
      </c>
      <c r="O51" s="46" t="s">
        <v>1296</v>
      </c>
    </row>
    <row r="52" spans="2:15">
      <c r="B52" s="46" t="s">
        <v>50</v>
      </c>
      <c r="C52" s="46" t="s">
        <v>1043</v>
      </c>
      <c r="D52" s="46" t="s">
        <v>1043</v>
      </c>
      <c r="E52" s="46" t="s">
        <v>51</v>
      </c>
      <c r="F52" s="46" t="s">
        <v>1043</v>
      </c>
      <c r="G52" s="46" t="s">
        <v>1043</v>
      </c>
      <c r="H52" s="46" t="s">
        <v>1297</v>
      </c>
      <c r="I52" s="46" t="s">
        <v>1298</v>
      </c>
      <c r="J52" s="46" t="s">
        <v>1299</v>
      </c>
      <c r="K52" s="46" t="s">
        <v>1300</v>
      </c>
      <c r="L52" s="46" t="s">
        <v>1301</v>
      </c>
      <c r="M52" s="46" t="s">
        <v>1302</v>
      </c>
      <c r="N52" s="46" t="s">
        <v>1303</v>
      </c>
      <c r="O52" s="46" t="s">
        <v>1304</v>
      </c>
    </row>
    <row r="53" spans="2:15">
      <c r="B53" s="46" t="s">
        <v>50</v>
      </c>
      <c r="C53" s="46" t="s">
        <v>1043</v>
      </c>
      <c r="D53" s="46" t="s">
        <v>1043</v>
      </c>
      <c r="E53" s="46" t="s">
        <v>27</v>
      </c>
      <c r="F53" s="46" t="s">
        <v>1043</v>
      </c>
      <c r="G53" s="46" t="s">
        <v>1043</v>
      </c>
      <c r="H53" s="46" t="s">
        <v>1305</v>
      </c>
      <c r="I53" s="46" t="s">
        <v>1306</v>
      </c>
      <c r="J53" s="46" t="s">
        <v>1307</v>
      </c>
      <c r="K53" s="46" t="s">
        <v>1308</v>
      </c>
      <c r="L53" s="46" t="s">
        <v>1309</v>
      </c>
      <c r="M53" s="46" t="s">
        <v>1310</v>
      </c>
      <c r="N53" s="46" t="s">
        <v>1311</v>
      </c>
      <c r="O53" s="46" t="s">
        <v>1312</v>
      </c>
    </row>
    <row r="54" spans="2:15">
      <c r="B54" s="46" t="s">
        <v>50</v>
      </c>
      <c r="C54" s="46" t="s">
        <v>1043</v>
      </c>
      <c r="D54" s="46" t="s">
        <v>1043</v>
      </c>
      <c r="O54" s="46" t="s">
        <v>1313</v>
      </c>
    </row>
    <row r="55" spans="2:15">
      <c r="B55" s="46" t="s">
        <v>52</v>
      </c>
      <c r="C55" s="46" t="s">
        <v>1043</v>
      </c>
      <c r="D55" s="46" t="s">
        <v>1043</v>
      </c>
      <c r="E55" s="46" t="s">
        <v>53</v>
      </c>
      <c r="F55" s="46" t="s">
        <v>1043</v>
      </c>
      <c r="G55" s="46" t="s">
        <v>1043</v>
      </c>
      <c r="H55" s="46" t="s">
        <v>1314</v>
      </c>
      <c r="I55" s="46" t="s">
        <v>1315</v>
      </c>
      <c r="J55" s="46" t="s">
        <v>1316</v>
      </c>
      <c r="K55" s="46" t="s">
        <v>1317</v>
      </c>
      <c r="L55" s="46" t="s">
        <v>1318</v>
      </c>
      <c r="M55" s="46" t="s">
        <v>1319</v>
      </c>
      <c r="N55" s="46" t="s">
        <v>1320</v>
      </c>
      <c r="O55" s="46" t="s">
        <v>1321</v>
      </c>
    </row>
    <row r="56" spans="2:15">
      <c r="B56" s="46" t="s">
        <v>52</v>
      </c>
      <c r="C56" s="46" t="s">
        <v>1043</v>
      </c>
      <c r="D56" s="46" t="s">
        <v>1043</v>
      </c>
      <c r="E56" s="46" t="s">
        <v>34</v>
      </c>
      <c r="F56" s="46" t="s">
        <v>1043</v>
      </c>
      <c r="G56" s="46" t="s">
        <v>1043</v>
      </c>
      <c r="H56" s="46" t="s">
        <v>1322</v>
      </c>
      <c r="I56" s="46" t="s">
        <v>1323</v>
      </c>
      <c r="J56" s="46" t="s">
        <v>1324</v>
      </c>
      <c r="K56" s="46" t="s">
        <v>1325</v>
      </c>
      <c r="L56" s="46" t="s">
        <v>1326</v>
      </c>
      <c r="M56" s="46" t="s">
        <v>1327</v>
      </c>
      <c r="N56" s="46" t="s">
        <v>1328</v>
      </c>
      <c r="O56" s="46" t="s">
        <v>1329</v>
      </c>
    </row>
    <row r="57" spans="2:15">
      <c r="B57" s="46" t="s">
        <v>52</v>
      </c>
      <c r="C57" s="46" t="s">
        <v>1043</v>
      </c>
      <c r="D57" s="46" t="s">
        <v>1043</v>
      </c>
      <c r="O57" s="46" t="s">
        <v>1330</v>
      </c>
    </row>
    <row r="58" spans="2:15">
      <c r="B58" s="46" t="s">
        <v>54</v>
      </c>
      <c r="C58" s="46" t="s">
        <v>1043</v>
      </c>
      <c r="D58" s="46" t="s">
        <v>1043</v>
      </c>
      <c r="E58" s="46" t="s">
        <v>55</v>
      </c>
      <c r="F58" s="46" t="s">
        <v>1043</v>
      </c>
      <c r="G58" s="46" t="s">
        <v>1043</v>
      </c>
      <c r="H58" s="46" t="s">
        <v>1331</v>
      </c>
      <c r="I58" s="46" t="s">
        <v>1332</v>
      </c>
      <c r="J58" s="46" t="s">
        <v>1333</v>
      </c>
      <c r="K58" s="46" t="s">
        <v>1334</v>
      </c>
      <c r="L58" s="46" t="s">
        <v>1335</v>
      </c>
      <c r="M58" s="46" t="s">
        <v>1336</v>
      </c>
      <c r="N58" s="46" t="s">
        <v>1337</v>
      </c>
      <c r="O58" s="46" t="s">
        <v>1338</v>
      </c>
    </row>
    <row r="59" spans="2:15">
      <c r="B59" s="46" t="s">
        <v>54</v>
      </c>
      <c r="C59" s="46" t="s">
        <v>1043</v>
      </c>
      <c r="D59" s="46" t="s">
        <v>1043</v>
      </c>
      <c r="E59" s="46" t="s">
        <v>56</v>
      </c>
      <c r="F59" s="46" t="s">
        <v>1043</v>
      </c>
      <c r="G59" s="46" t="s">
        <v>1043</v>
      </c>
      <c r="H59" s="46" t="s">
        <v>1339</v>
      </c>
      <c r="I59" s="46" t="s">
        <v>1340</v>
      </c>
      <c r="J59" s="46" t="s">
        <v>1341</v>
      </c>
      <c r="K59" s="46" t="s">
        <v>1342</v>
      </c>
      <c r="L59" s="46" t="s">
        <v>1343</v>
      </c>
      <c r="M59" s="46" t="s">
        <v>1344</v>
      </c>
      <c r="N59" s="46" t="s">
        <v>1345</v>
      </c>
      <c r="O59" s="46" t="s">
        <v>1346</v>
      </c>
    </row>
    <row r="60" spans="2:15">
      <c r="B60" s="46" t="s">
        <v>54</v>
      </c>
      <c r="C60" s="46" t="s">
        <v>1043</v>
      </c>
      <c r="D60" s="46" t="s">
        <v>1043</v>
      </c>
      <c r="O60" s="46" t="s">
        <v>1347</v>
      </c>
    </row>
    <row r="61" spans="2:15">
      <c r="B61" s="46" t="s">
        <v>57</v>
      </c>
      <c r="C61" s="46" t="s">
        <v>1043</v>
      </c>
      <c r="D61" s="46" t="s">
        <v>1043</v>
      </c>
      <c r="E61" s="46" t="s">
        <v>58</v>
      </c>
      <c r="F61" s="46" t="s">
        <v>1043</v>
      </c>
      <c r="G61" s="46" t="s">
        <v>1043</v>
      </c>
      <c r="H61" s="46" t="s">
        <v>1348</v>
      </c>
      <c r="I61" s="46" t="s">
        <v>1349</v>
      </c>
      <c r="J61" s="46" t="s">
        <v>1350</v>
      </c>
      <c r="K61" s="46" t="s">
        <v>1351</v>
      </c>
      <c r="L61" s="46" t="s">
        <v>1352</v>
      </c>
      <c r="M61" s="46" t="s">
        <v>1353</v>
      </c>
      <c r="N61" s="46" t="s">
        <v>1354</v>
      </c>
      <c r="O61" s="46" t="s">
        <v>1355</v>
      </c>
    </row>
    <row r="62" spans="2:15">
      <c r="B62" s="46" t="s">
        <v>57</v>
      </c>
      <c r="C62" s="46" t="s">
        <v>1043</v>
      </c>
      <c r="D62" s="46" t="s">
        <v>1043</v>
      </c>
      <c r="E62" s="46" t="s">
        <v>56</v>
      </c>
      <c r="F62" s="46" t="s">
        <v>1043</v>
      </c>
      <c r="G62" s="46" t="s">
        <v>1043</v>
      </c>
      <c r="H62" s="46" t="s">
        <v>1356</v>
      </c>
      <c r="I62" s="46" t="s">
        <v>1357</v>
      </c>
      <c r="J62" s="46" t="s">
        <v>1358</v>
      </c>
      <c r="K62" s="46" t="s">
        <v>1359</v>
      </c>
      <c r="L62" s="46" t="s">
        <v>1360</v>
      </c>
      <c r="M62" s="46" t="s">
        <v>1361</v>
      </c>
      <c r="N62" s="46" t="s">
        <v>1362</v>
      </c>
      <c r="O62" s="46" t="s">
        <v>1363</v>
      </c>
    </row>
    <row r="63" spans="2:15">
      <c r="B63" s="46" t="s">
        <v>57</v>
      </c>
      <c r="C63" s="46" t="s">
        <v>1043</v>
      </c>
      <c r="D63" s="46" t="s">
        <v>1043</v>
      </c>
      <c r="O63" s="46" t="s">
        <v>1364</v>
      </c>
    </row>
    <row r="64" spans="2:15">
      <c r="B64" s="46" t="s">
        <v>59</v>
      </c>
      <c r="C64" s="46" t="s">
        <v>1043</v>
      </c>
      <c r="D64" s="46" t="s">
        <v>1043</v>
      </c>
      <c r="E64" s="46" t="s">
        <v>60</v>
      </c>
      <c r="F64" s="46" t="s">
        <v>1043</v>
      </c>
      <c r="G64" s="46" t="s">
        <v>1043</v>
      </c>
      <c r="H64" s="46" t="s">
        <v>1365</v>
      </c>
      <c r="I64" s="46" t="s">
        <v>1366</v>
      </c>
      <c r="J64" s="46" t="s">
        <v>1367</v>
      </c>
      <c r="K64" s="46" t="s">
        <v>1368</v>
      </c>
      <c r="L64" s="46" t="s">
        <v>1369</v>
      </c>
      <c r="M64" s="46" t="s">
        <v>1370</v>
      </c>
      <c r="N64" s="46" t="s">
        <v>1371</v>
      </c>
      <c r="O64" s="46" t="s">
        <v>1372</v>
      </c>
    </row>
    <row r="65" spans="2:15">
      <c r="B65" s="46" t="s">
        <v>59</v>
      </c>
      <c r="C65" s="46" t="s">
        <v>1043</v>
      </c>
      <c r="D65" s="46" t="s">
        <v>1043</v>
      </c>
      <c r="E65" s="46" t="s">
        <v>56</v>
      </c>
      <c r="F65" s="46" t="s">
        <v>1043</v>
      </c>
      <c r="G65" s="46" t="s">
        <v>1043</v>
      </c>
      <c r="H65" s="46" t="s">
        <v>1373</v>
      </c>
      <c r="I65" s="46" t="s">
        <v>1374</v>
      </c>
      <c r="J65" s="46" t="s">
        <v>1375</v>
      </c>
      <c r="K65" s="46" t="s">
        <v>1376</v>
      </c>
      <c r="L65" s="46" t="s">
        <v>1377</v>
      </c>
      <c r="M65" s="46" t="s">
        <v>1378</v>
      </c>
      <c r="N65" s="46" t="s">
        <v>1379</v>
      </c>
      <c r="O65" s="46" t="s">
        <v>1380</v>
      </c>
    </row>
    <row r="66" spans="2:15">
      <c r="B66" s="46" t="s">
        <v>59</v>
      </c>
      <c r="C66" s="46" t="s">
        <v>1043</v>
      </c>
      <c r="D66" s="46" t="s">
        <v>1043</v>
      </c>
      <c r="O66" s="46" t="s">
        <v>1381</v>
      </c>
    </row>
    <row r="67" spans="2:15">
      <c r="B67" s="46" t="s">
        <v>61</v>
      </c>
      <c r="C67" s="46" t="s">
        <v>1043</v>
      </c>
      <c r="D67" s="46" t="s">
        <v>1043</v>
      </c>
      <c r="E67" s="46" t="s">
        <v>62</v>
      </c>
      <c r="F67" s="46" t="s">
        <v>1043</v>
      </c>
      <c r="G67" s="46" t="s">
        <v>1043</v>
      </c>
      <c r="H67" s="46" t="s">
        <v>1382</v>
      </c>
      <c r="I67" s="46" t="s">
        <v>1383</v>
      </c>
      <c r="J67" s="46" t="s">
        <v>1384</v>
      </c>
      <c r="K67" s="46" t="s">
        <v>1385</v>
      </c>
      <c r="L67" s="46" t="s">
        <v>1386</v>
      </c>
      <c r="M67" s="46" t="s">
        <v>1387</v>
      </c>
      <c r="N67" s="46" t="s">
        <v>1388</v>
      </c>
      <c r="O67" s="46" t="s">
        <v>1389</v>
      </c>
    </row>
    <row r="68" spans="2:15">
      <c r="B68" s="46" t="s">
        <v>61</v>
      </c>
      <c r="C68" s="46" t="s">
        <v>1043</v>
      </c>
      <c r="D68" s="46" t="s">
        <v>1043</v>
      </c>
      <c r="E68" s="46" t="s">
        <v>56</v>
      </c>
      <c r="F68" s="46" t="s">
        <v>1043</v>
      </c>
      <c r="G68" s="46" t="s">
        <v>1043</v>
      </c>
      <c r="H68" s="46" t="s">
        <v>1390</v>
      </c>
      <c r="I68" s="46" t="s">
        <v>1391</v>
      </c>
      <c r="J68" s="46" t="s">
        <v>1392</v>
      </c>
      <c r="K68" s="46" t="s">
        <v>1393</v>
      </c>
      <c r="L68" s="46" t="s">
        <v>1394</v>
      </c>
      <c r="M68" s="46" t="s">
        <v>1395</v>
      </c>
      <c r="N68" s="46" t="s">
        <v>1396</v>
      </c>
      <c r="O68" s="46" t="s">
        <v>1397</v>
      </c>
    </row>
    <row r="69" spans="2:15">
      <c r="B69" s="46" t="s">
        <v>61</v>
      </c>
      <c r="C69" s="46" t="s">
        <v>1043</v>
      </c>
      <c r="D69" s="46" t="s">
        <v>1043</v>
      </c>
      <c r="O69" s="46" t="s">
        <v>1398</v>
      </c>
    </row>
    <row r="70" spans="2:15">
      <c r="B70" s="46" t="s">
        <v>63</v>
      </c>
      <c r="C70" s="46" t="s">
        <v>1043</v>
      </c>
      <c r="D70" s="46" t="s">
        <v>1043</v>
      </c>
      <c r="E70" s="46" t="s">
        <v>64</v>
      </c>
      <c r="F70" s="46" t="s">
        <v>1043</v>
      </c>
      <c r="G70" s="46" t="s">
        <v>1043</v>
      </c>
      <c r="H70" s="46" t="s">
        <v>1399</v>
      </c>
      <c r="I70" s="46" t="s">
        <v>1400</v>
      </c>
      <c r="J70" s="46" t="s">
        <v>1401</v>
      </c>
      <c r="K70" s="46" t="s">
        <v>1402</v>
      </c>
      <c r="L70" s="46" t="s">
        <v>1403</v>
      </c>
      <c r="M70" s="46" t="s">
        <v>1404</v>
      </c>
      <c r="N70" s="46" t="s">
        <v>1405</v>
      </c>
      <c r="O70" s="46" t="s">
        <v>1406</v>
      </c>
    </row>
    <row r="71" spans="2:15">
      <c r="B71" s="46" t="s">
        <v>63</v>
      </c>
      <c r="C71" s="46" t="s">
        <v>1043</v>
      </c>
      <c r="D71" s="46" t="s">
        <v>1043</v>
      </c>
      <c r="E71" s="46" t="s">
        <v>56</v>
      </c>
      <c r="F71" s="46" t="s">
        <v>1043</v>
      </c>
      <c r="G71" s="46" t="s">
        <v>1043</v>
      </c>
      <c r="H71" s="46" t="s">
        <v>1407</v>
      </c>
      <c r="I71" s="46" t="s">
        <v>1408</v>
      </c>
      <c r="J71" s="46" t="s">
        <v>1409</v>
      </c>
      <c r="K71" s="46" t="s">
        <v>1410</v>
      </c>
      <c r="L71" s="46" t="s">
        <v>1411</v>
      </c>
      <c r="M71" s="46" t="s">
        <v>1412</v>
      </c>
      <c r="N71" s="46" t="s">
        <v>1413</v>
      </c>
      <c r="O71" s="46" t="s">
        <v>1414</v>
      </c>
    </row>
    <row r="72" spans="2:15">
      <c r="B72" s="46" t="s">
        <v>63</v>
      </c>
      <c r="C72" s="46" t="s">
        <v>1043</v>
      </c>
      <c r="D72" s="46" t="s">
        <v>1043</v>
      </c>
      <c r="O72" s="46" t="s">
        <v>1415</v>
      </c>
    </row>
    <row r="73" spans="2:15">
      <c r="B73" s="46" t="s">
        <v>65</v>
      </c>
      <c r="C73" s="46" t="s">
        <v>1043</v>
      </c>
      <c r="D73" s="46" t="s">
        <v>1043</v>
      </c>
      <c r="H73" s="46" t="s">
        <v>1095</v>
      </c>
      <c r="I73" s="46" t="s">
        <v>1416</v>
      </c>
      <c r="J73" s="46" t="s">
        <v>1417</v>
      </c>
      <c r="K73" s="46" t="s">
        <v>1418</v>
      </c>
      <c r="L73" s="46" t="s">
        <v>1419</v>
      </c>
      <c r="M73" s="46" t="s">
        <v>1420</v>
      </c>
      <c r="N73" s="46" t="s">
        <v>1421</v>
      </c>
      <c r="O73" s="46" t="s">
        <v>1422</v>
      </c>
    </row>
    <row r="74" spans="2:15">
      <c r="B74" s="46" t="s">
        <v>66</v>
      </c>
      <c r="C74" s="46" t="s">
        <v>1043</v>
      </c>
      <c r="D74" s="46" t="s">
        <v>1043</v>
      </c>
      <c r="H74" s="46" t="s">
        <v>1095</v>
      </c>
      <c r="I74" s="46" t="s">
        <v>1423</v>
      </c>
      <c r="J74" s="46" t="s">
        <v>1424</v>
      </c>
      <c r="K74" s="46" t="s">
        <v>1425</v>
      </c>
      <c r="L74" s="46" t="s">
        <v>1426</v>
      </c>
      <c r="M74" s="46" t="s">
        <v>1427</v>
      </c>
      <c r="N74" s="46" t="s">
        <v>1428</v>
      </c>
      <c r="O74" s="46" t="s">
        <v>1429</v>
      </c>
    </row>
    <row r="75" spans="2:15">
      <c r="B75" s="46" t="s">
        <v>67</v>
      </c>
      <c r="C75" s="46" t="s">
        <v>1043</v>
      </c>
      <c r="D75" s="46" t="s">
        <v>1043</v>
      </c>
      <c r="H75" s="46" t="s">
        <v>1095</v>
      </c>
      <c r="I75" s="46" t="s">
        <v>1430</v>
      </c>
      <c r="J75" s="46" t="s">
        <v>1431</v>
      </c>
      <c r="K75" s="46" t="s">
        <v>1432</v>
      </c>
      <c r="L75" s="46" t="s">
        <v>1433</v>
      </c>
      <c r="M75" s="46" t="s">
        <v>1434</v>
      </c>
      <c r="N75" s="46" t="s">
        <v>1435</v>
      </c>
      <c r="O75" s="46" t="s">
        <v>1436</v>
      </c>
    </row>
    <row r="76" spans="2:15">
      <c r="B76" s="46" t="s">
        <v>68</v>
      </c>
      <c r="C76" s="46" t="s">
        <v>1043</v>
      </c>
      <c r="D76" s="46" t="s">
        <v>1043</v>
      </c>
      <c r="H76" s="46" t="s">
        <v>1095</v>
      </c>
      <c r="I76" s="46" t="s">
        <v>1437</v>
      </c>
      <c r="J76" s="46" t="s">
        <v>1438</v>
      </c>
      <c r="K76" s="46" t="s">
        <v>1439</v>
      </c>
      <c r="L76" s="46" t="s">
        <v>1440</v>
      </c>
      <c r="M76" s="46" t="s">
        <v>1441</v>
      </c>
      <c r="N76" s="46" t="s">
        <v>1442</v>
      </c>
      <c r="O76" s="46" t="s">
        <v>1443</v>
      </c>
    </row>
    <row r="77" spans="2:15">
      <c r="B77" s="46" t="s">
        <v>69</v>
      </c>
      <c r="C77" s="46" t="s">
        <v>1043</v>
      </c>
      <c r="D77" s="46" t="s">
        <v>1043</v>
      </c>
      <c r="H77" s="46" t="s">
        <v>1095</v>
      </c>
      <c r="I77" s="46" t="s">
        <v>1444</v>
      </c>
      <c r="J77" s="46" t="s">
        <v>1445</v>
      </c>
      <c r="K77" s="46" t="s">
        <v>1446</v>
      </c>
      <c r="L77" s="46" t="s">
        <v>1447</v>
      </c>
      <c r="M77" s="46" t="s">
        <v>1448</v>
      </c>
      <c r="N77" s="46" t="s">
        <v>1449</v>
      </c>
      <c r="O77" s="46" t="s">
        <v>1450</v>
      </c>
    </row>
    <row r="78" spans="2:15">
      <c r="B78" s="46" t="s">
        <v>70</v>
      </c>
      <c r="C78" s="46" t="s">
        <v>1043</v>
      </c>
      <c r="D78" s="46" t="s">
        <v>1043</v>
      </c>
      <c r="H78" s="46" t="s">
        <v>1095</v>
      </c>
      <c r="I78" s="46" t="s">
        <v>1451</v>
      </c>
      <c r="J78" s="46" t="s">
        <v>1452</v>
      </c>
      <c r="K78" s="46" t="s">
        <v>1453</v>
      </c>
      <c r="L78" s="46" t="s">
        <v>1454</v>
      </c>
      <c r="M78" s="46" t="s">
        <v>1455</v>
      </c>
      <c r="N78" s="46" t="s">
        <v>1456</v>
      </c>
      <c r="O78" s="46" t="s">
        <v>1457</v>
      </c>
    </row>
    <row r="79" spans="2:15">
      <c r="B79" s="46" t="s">
        <v>71</v>
      </c>
      <c r="C79" s="46" t="s">
        <v>1043</v>
      </c>
      <c r="D79" s="46" t="s">
        <v>1043</v>
      </c>
      <c r="H79" s="46" t="s">
        <v>1095</v>
      </c>
      <c r="I79" s="46" t="s">
        <v>1458</v>
      </c>
      <c r="J79" s="46" t="s">
        <v>1459</v>
      </c>
      <c r="K79" s="46" t="s">
        <v>1460</v>
      </c>
      <c r="L79" s="46" t="s">
        <v>1461</v>
      </c>
      <c r="M79" s="46" t="s">
        <v>1462</v>
      </c>
      <c r="N79" s="46" t="s">
        <v>1463</v>
      </c>
      <c r="O79" s="46" t="s">
        <v>1464</v>
      </c>
    </row>
    <row r="80" spans="2:15">
      <c r="B80" s="46" t="s">
        <v>72</v>
      </c>
      <c r="C80" s="46" t="s">
        <v>1043</v>
      </c>
      <c r="D80" s="46" t="s">
        <v>1043</v>
      </c>
      <c r="H80" s="46" t="s">
        <v>1095</v>
      </c>
      <c r="I80" s="46" t="s">
        <v>1465</v>
      </c>
      <c r="J80" s="46" t="s">
        <v>1466</v>
      </c>
      <c r="K80" s="46" t="s">
        <v>1467</v>
      </c>
      <c r="L80" s="46" t="s">
        <v>1468</v>
      </c>
      <c r="M80" s="46" t="s">
        <v>1469</v>
      </c>
      <c r="N80" s="46" t="s">
        <v>1470</v>
      </c>
      <c r="O80" s="46" t="s">
        <v>1471</v>
      </c>
    </row>
    <row r="81" spans="2:15">
      <c r="B81" s="46" t="s">
        <v>73</v>
      </c>
      <c r="C81" s="46" t="s">
        <v>1043</v>
      </c>
      <c r="D81" s="46" t="s">
        <v>1043</v>
      </c>
      <c r="H81" s="46" t="s">
        <v>1095</v>
      </c>
      <c r="I81" s="46" t="s">
        <v>1472</v>
      </c>
      <c r="J81" s="46" t="s">
        <v>1473</v>
      </c>
      <c r="K81" s="46" t="s">
        <v>1474</v>
      </c>
      <c r="L81" s="46" t="s">
        <v>1475</v>
      </c>
      <c r="M81" s="46" t="s">
        <v>1476</v>
      </c>
      <c r="N81" s="46" t="s">
        <v>1477</v>
      </c>
      <c r="O81" s="46" t="s">
        <v>1478</v>
      </c>
    </row>
    <row r="82" spans="2:15">
      <c r="B82" s="46" t="s">
        <v>74</v>
      </c>
      <c r="C82" s="46" t="s">
        <v>1043</v>
      </c>
      <c r="D82" s="46" t="s">
        <v>1043</v>
      </c>
      <c r="H82" s="46" t="s">
        <v>1095</v>
      </c>
      <c r="I82" s="46" t="s">
        <v>1479</v>
      </c>
      <c r="J82" s="46" t="s">
        <v>1480</v>
      </c>
      <c r="K82" s="46" t="s">
        <v>1481</v>
      </c>
      <c r="L82" s="46" t="s">
        <v>1482</v>
      </c>
      <c r="M82" s="46" t="s">
        <v>1483</v>
      </c>
      <c r="N82" s="46" t="s">
        <v>1484</v>
      </c>
      <c r="O82" s="46" t="s">
        <v>1485</v>
      </c>
    </row>
    <row r="83" spans="2:15">
      <c r="B83" s="46" t="s">
        <v>75</v>
      </c>
      <c r="C83" s="46" t="s">
        <v>1043</v>
      </c>
      <c r="D83" s="46" t="s">
        <v>1043</v>
      </c>
      <c r="H83" s="46" t="s">
        <v>1095</v>
      </c>
      <c r="I83" s="46" t="s">
        <v>1486</v>
      </c>
      <c r="J83" s="46" t="s">
        <v>1487</v>
      </c>
      <c r="K83" s="46" t="s">
        <v>1488</v>
      </c>
      <c r="L83" s="46" t="s">
        <v>1489</v>
      </c>
      <c r="M83" s="46" t="s">
        <v>1490</v>
      </c>
      <c r="N83" s="46" t="s">
        <v>1491</v>
      </c>
      <c r="O83" s="46" t="s">
        <v>1492</v>
      </c>
    </row>
    <row r="84" spans="2:15">
      <c r="B84" s="46" t="s">
        <v>76</v>
      </c>
      <c r="C84" s="46" t="s">
        <v>1043</v>
      </c>
      <c r="D84" s="46" t="s">
        <v>1043</v>
      </c>
      <c r="H84" s="46" t="s">
        <v>1095</v>
      </c>
      <c r="I84" s="46" t="s">
        <v>1493</v>
      </c>
      <c r="J84" s="46" t="s">
        <v>1494</v>
      </c>
      <c r="K84" s="46" t="s">
        <v>1495</v>
      </c>
      <c r="L84" s="46" t="s">
        <v>1496</v>
      </c>
      <c r="M84" s="46" t="s">
        <v>1497</v>
      </c>
      <c r="N84" s="46" t="s">
        <v>1498</v>
      </c>
      <c r="O84" s="46" t="s">
        <v>1499</v>
      </c>
    </row>
    <row r="85" spans="2:15">
      <c r="B85" s="46" t="s">
        <v>77</v>
      </c>
      <c r="C85" s="46" t="s">
        <v>1043</v>
      </c>
      <c r="D85" s="46" t="s">
        <v>1043</v>
      </c>
      <c r="H85" s="46" t="s">
        <v>1095</v>
      </c>
      <c r="I85" s="46" t="s">
        <v>1500</v>
      </c>
      <c r="J85" s="46" t="s">
        <v>1501</v>
      </c>
      <c r="K85" s="46" t="s">
        <v>1502</v>
      </c>
      <c r="L85" s="46" t="s">
        <v>1503</v>
      </c>
      <c r="M85" s="46" t="s">
        <v>1504</v>
      </c>
      <c r="N85" s="46" t="s">
        <v>1505</v>
      </c>
      <c r="O85" s="46" t="s">
        <v>1506</v>
      </c>
    </row>
    <row r="86" spans="2:15">
      <c r="B86" s="46" t="s">
        <v>78</v>
      </c>
      <c r="C86" s="46" t="s">
        <v>1043</v>
      </c>
      <c r="D86" s="46" t="s">
        <v>1043</v>
      </c>
      <c r="H86" s="46" t="s">
        <v>1095</v>
      </c>
      <c r="I86" s="46" t="s">
        <v>1507</v>
      </c>
      <c r="J86" s="46" t="s">
        <v>1508</v>
      </c>
      <c r="K86" s="46" t="s">
        <v>1509</v>
      </c>
      <c r="L86" s="46" t="s">
        <v>1510</v>
      </c>
      <c r="M86" s="46" t="s">
        <v>1511</v>
      </c>
      <c r="N86" s="46" t="s">
        <v>1512</v>
      </c>
      <c r="O86" s="46" t="s">
        <v>1513</v>
      </c>
    </row>
    <row r="87" spans="2:15">
      <c r="B87" s="46" t="s">
        <v>79</v>
      </c>
      <c r="C87" s="46" t="s">
        <v>1043</v>
      </c>
      <c r="D87" s="46" t="s">
        <v>1043</v>
      </c>
      <c r="H87" s="46" t="s">
        <v>1095</v>
      </c>
      <c r="I87" s="46" t="s">
        <v>1514</v>
      </c>
      <c r="J87" s="46" t="s">
        <v>1515</v>
      </c>
      <c r="K87" s="46" t="s">
        <v>1516</v>
      </c>
      <c r="L87" s="46" t="s">
        <v>1517</v>
      </c>
      <c r="M87" s="46" t="s">
        <v>1518</v>
      </c>
      <c r="N87" s="46" t="s">
        <v>1519</v>
      </c>
      <c r="O87" s="46" t="s">
        <v>1520</v>
      </c>
    </row>
    <row r="88" spans="2:15">
      <c r="B88" s="46" t="s">
        <v>80</v>
      </c>
      <c r="C88" s="46" t="s">
        <v>1043</v>
      </c>
      <c r="D88" s="46" t="s">
        <v>1043</v>
      </c>
      <c r="H88" s="46" t="s">
        <v>1095</v>
      </c>
      <c r="I88" s="46" t="s">
        <v>1521</v>
      </c>
      <c r="J88" s="46" t="s">
        <v>1522</v>
      </c>
      <c r="K88" s="46" t="s">
        <v>1523</v>
      </c>
      <c r="L88" s="46" t="s">
        <v>1524</v>
      </c>
      <c r="M88" s="46" t="s">
        <v>1525</v>
      </c>
      <c r="N88" s="46" t="s">
        <v>1526</v>
      </c>
      <c r="O88" s="46" t="s">
        <v>1527</v>
      </c>
    </row>
    <row r="89" spans="2:15">
      <c r="B89" s="46" t="s">
        <v>81</v>
      </c>
      <c r="C89" s="46" t="s">
        <v>1043</v>
      </c>
      <c r="D89" s="46" t="s">
        <v>1043</v>
      </c>
      <c r="H89" s="46" t="s">
        <v>1095</v>
      </c>
      <c r="I89" s="46" t="s">
        <v>1528</v>
      </c>
      <c r="J89" s="46" t="s">
        <v>1529</v>
      </c>
      <c r="K89" s="46" t="s">
        <v>1530</v>
      </c>
      <c r="L89" s="46" t="s">
        <v>1531</v>
      </c>
      <c r="M89" s="46" t="s">
        <v>1532</v>
      </c>
      <c r="N89" s="46" t="s">
        <v>1533</v>
      </c>
      <c r="O89" s="46" t="s">
        <v>1534</v>
      </c>
    </row>
    <row r="90" spans="2:15">
      <c r="B90" s="46" t="s">
        <v>82</v>
      </c>
      <c r="C90" s="46" t="s">
        <v>1043</v>
      </c>
      <c r="D90" s="46" t="s">
        <v>1043</v>
      </c>
      <c r="H90" s="46" t="s">
        <v>1095</v>
      </c>
      <c r="I90" s="46" t="s">
        <v>1535</v>
      </c>
      <c r="J90" s="46" t="s">
        <v>1536</v>
      </c>
      <c r="K90" s="46" t="s">
        <v>1537</v>
      </c>
      <c r="L90" s="46" t="s">
        <v>1538</v>
      </c>
      <c r="M90" s="46" t="s">
        <v>1539</v>
      </c>
      <c r="N90" s="46" t="s">
        <v>1540</v>
      </c>
      <c r="O90" s="46" t="s">
        <v>1541</v>
      </c>
    </row>
    <row r="91" spans="2:15">
      <c r="B91" s="46" t="s">
        <v>83</v>
      </c>
      <c r="C91" s="46" t="s">
        <v>1043</v>
      </c>
      <c r="D91" s="46" t="s">
        <v>1043</v>
      </c>
      <c r="H91" s="46" t="s">
        <v>1095</v>
      </c>
      <c r="I91" s="46" t="s">
        <v>1542</v>
      </c>
      <c r="J91" s="46" t="s">
        <v>1543</v>
      </c>
      <c r="K91" s="46" t="s">
        <v>1544</v>
      </c>
      <c r="L91" s="46" t="s">
        <v>1545</v>
      </c>
      <c r="M91" s="46" t="s">
        <v>1546</v>
      </c>
      <c r="N91" s="46" t="s">
        <v>1547</v>
      </c>
      <c r="O91" s="46" t="s">
        <v>1548</v>
      </c>
    </row>
    <row r="92" spans="2:15">
      <c r="B92" s="46" t="s">
        <v>84</v>
      </c>
      <c r="C92" s="46" t="s">
        <v>1043</v>
      </c>
      <c r="D92" s="46" t="s">
        <v>1043</v>
      </c>
      <c r="H92" s="46" t="s">
        <v>1095</v>
      </c>
      <c r="I92" s="46" t="s">
        <v>1549</v>
      </c>
      <c r="J92" s="46" t="s">
        <v>1550</v>
      </c>
      <c r="K92" s="46" t="s">
        <v>1551</v>
      </c>
      <c r="L92" s="46" t="s">
        <v>1552</v>
      </c>
      <c r="M92" s="46" t="s">
        <v>1553</v>
      </c>
      <c r="N92" s="46" t="s">
        <v>1554</v>
      </c>
      <c r="O92" s="46" t="s">
        <v>1555</v>
      </c>
    </row>
    <row r="93" spans="2:15">
      <c r="B93" s="46" t="s">
        <v>85</v>
      </c>
      <c r="C93" s="46" t="s">
        <v>1043</v>
      </c>
      <c r="D93" s="46" t="s">
        <v>1043</v>
      </c>
      <c r="H93" s="46" t="s">
        <v>1095</v>
      </c>
      <c r="I93" s="46" t="s">
        <v>1556</v>
      </c>
      <c r="J93" s="46" t="s">
        <v>1557</v>
      </c>
      <c r="K93" s="46" t="s">
        <v>1558</v>
      </c>
      <c r="L93" s="46" t="s">
        <v>1559</v>
      </c>
      <c r="M93" s="46" t="s">
        <v>1560</v>
      </c>
      <c r="N93" s="46" t="s">
        <v>1561</v>
      </c>
      <c r="O93" s="46" t="s">
        <v>1562</v>
      </c>
    </row>
    <row r="94" spans="2:15">
      <c r="B94" s="46" t="s">
        <v>86</v>
      </c>
      <c r="C94" s="46" t="s">
        <v>1043</v>
      </c>
      <c r="D94" s="46" t="s">
        <v>1043</v>
      </c>
      <c r="H94" s="46" t="s">
        <v>1095</v>
      </c>
      <c r="I94" s="46" t="s">
        <v>1563</v>
      </c>
      <c r="J94" s="46" t="s">
        <v>1564</v>
      </c>
      <c r="K94" s="46" t="s">
        <v>1565</v>
      </c>
      <c r="L94" s="46" t="s">
        <v>1566</v>
      </c>
      <c r="M94" s="46" t="s">
        <v>1567</v>
      </c>
      <c r="N94" s="46" t="s">
        <v>1568</v>
      </c>
      <c r="O94" s="46" t="s">
        <v>1569</v>
      </c>
    </row>
    <row r="95" spans="2:15">
      <c r="B95" s="46" t="s">
        <v>87</v>
      </c>
      <c r="C95" s="46" t="s">
        <v>1043</v>
      </c>
      <c r="D95" s="46" t="s">
        <v>1043</v>
      </c>
      <c r="H95" s="46" t="s">
        <v>1095</v>
      </c>
      <c r="I95" s="46" t="s">
        <v>1570</v>
      </c>
      <c r="J95" s="46" t="s">
        <v>1571</v>
      </c>
      <c r="K95" s="46" t="s">
        <v>1572</v>
      </c>
      <c r="L95" s="46" t="s">
        <v>1573</v>
      </c>
      <c r="M95" s="46" t="s">
        <v>1574</v>
      </c>
      <c r="N95" s="46" t="s">
        <v>1575</v>
      </c>
      <c r="O95" s="46" t="s">
        <v>1576</v>
      </c>
    </row>
    <row r="96" spans="2:15">
      <c r="B96" s="46" t="s">
        <v>88</v>
      </c>
      <c r="C96" s="46" t="s">
        <v>1043</v>
      </c>
      <c r="D96" s="46" t="s">
        <v>1043</v>
      </c>
      <c r="H96" s="46" t="s">
        <v>1095</v>
      </c>
      <c r="I96" s="46" t="s">
        <v>1577</v>
      </c>
      <c r="J96" s="46" t="s">
        <v>1578</v>
      </c>
      <c r="K96" s="46" t="s">
        <v>1579</v>
      </c>
      <c r="L96" s="46" t="s">
        <v>1580</v>
      </c>
      <c r="M96" s="46" t="s">
        <v>1581</v>
      </c>
      <c r="N96" s="46" t="s">
        <v>1582</v>
      </c>
      <c r="O96" s="46" t="s">
        <v>1583</v>
      </c>
    </row>
    <row r="97" spans="2:15">
      <c r="B97" s="46" t="s">
        <v>89</v>
      </c>
      <c r="C97" s="46" t="s">
        <v>1043</v>
      </c>
      <c r="D97" s="46" t="s">
        <v>1043</v>
      </c>
      <c r="H97" s="46" t="s">
        <v>1095</v>
      </c>
      <c r="I97" s="46" t="s">
        <v>1584</v>
      </c>
      <c r="J97" s="46" t="s">
        <v>1585</v>
      </c>
      <c r="K97" s="46" t="s">
        <v>1586</v>
      </c>
      <c r="L97" s="46" t="s">
        <v>1587</v>
      </c>
      <c r="M97" s="46" t="s">
        <v>1588</v>
      </c>
      <c r="N97" s="46" t="s">
        <v>1589</v>
      </c>
      <c r="O97" s="46" t="s">
        <v>1590</v>
      </c>
    </row>
    <row r="98" spans="2:15">
      <c r="B98" s="46" t="s">
        <v>90</v>
      </c>
      <c r="C98" s="46" t="s">
        <v>1043</v>
      </c>
      <c r="D98" s="46" t="s">
        <v>1043</v>
      </c>
      <c r="H98" s="46" t="s">
        <v>1095</v>
      </c>
      <c r="I98" s="46" t="s">
        <v>1591</v>
      </c>
      <c r="J98" s="46" t="s">
        <v>1592</v>
      </c>
      <c r="K98" s="46" t="s">
        <v>1593</v>
      </c>
      <c r="L98" s="46" t="s">
        <v>1594</v>
      </c>
      <c r="M98" s="46" t="s">
        <v>1595</v>
      </c>
      <c r="N98" s="46" t="s">
        <v>1596</v>
      </c>
      <c r="O98" s="46" t="s">
        <v>1597</v>
      </c>
    </row>
    <row r="99" spans="2:15">
      <c r="B99" s="46" t="s">
        <v>91</v>
      </c>
      <c r="C99" s="46" t="s">
        <v>1043</v>
      </c>
      <c r="D99" s="46" t="s">
        <v>1043</v>
      </c>
      <c r="H99" s="46" t="s">
        <v>1095</v>
      </c>
      <c r="I99" s="46" t="s">
        <v>1598</v>
      </c>
      <c r="J99" s="46" t="s">
        <v>1599</v>
      </c>
      <c r="K99" s="46" t="s">
        <v>1600</v>
      </c>
      <c r="L99" s="46" t="s">
        <v>1601</v>
      </c>
      <c r="M99" s="46" t="s">
        <v>1602</v>
      </c>
      <c r="N99" s="46" t="s">
        <v>1603</v>
      </c>
      <c r="O99" s="46" t="s">
        <v>1604</v>
      </c>
    </row>
    <row r="100" spans="2:15">
      <c r="B100" s="46" t="s">
        <v>92</v>
      </c>
      <c r="C100" s="46" t="s">
        <v>1043</v>
      </c>
      <c r="D100" s="46" t="s">
        <v>1043</v>
      </c>
      <c r="H100" s="46" t="s">
        <v>1095</v>
      </c>
      <c r="I100" s="46" t="s">
        <v>1605</v>
      </c>
      <c r="J100" s="46" t="s">
        <v>1606</v>
      </c>
      <c r="K100" s="46" t="s">
        <v>1607</v>
      </c>
      <c r="L100" s="46" t="s">
        <v>1608</v>
      </c>
      <c r="M100" s="46" t="s">
        <v>1609</v>
      </c>
      <c r="N100" s="46" t="s">
        <v>1610</v>
      </c>
      <c r="O100" s="46" t="s">
        <v>1611</v>
      </c>
    </row>
    <row r="101" spans="2:15">
      <c r="B101" s="46" t="s">
        <v>93</v>
      </c>
      <c r="C101" s="46" t="s">
        <v>1043</v>
      </c>
      <c r="D101" s="46" t="s">
        <v>1043</v>
      </c>
      <c r="H101" s="46" t="s">
        <v>1095</v>
      </c>
      <c r="I101" s="46" t="s">
        <v>1612</v>
      </c>
      <c r="J101" s="46" t="s">
        <v>1613</v>
      </c>
      <c r="K101" s="46" t="s">
        <v>1614</v>
      </c>
      <c r="L101" s="46" t="s">
        <v>1615</v>
      </c>
      <c r="M101" s="46" t="s">
        <v>1616</v>
      </c>
      <c r="N101" s="46" t="s">
        <v>1617</v>
      </c>
      <c r="O101" s="46" t="s">
        <v>1618</v>
      </c>
    </row>
    <row r="102" spans="2:15">
      <c r="B102" s="46" t="s">
        <v>94</v>
      </c>
      <c r="C102" s="46" t="s">
        <v>1043</v>
      </c>
      <c r="D102" s="46" t="s">
        <v>1043</v>
      </c>
      <c r="H102" s="46" t="s">
        <v>1095</v>
      </c>
      <c r="I102" s="46" t="s">
        <v>1619</v>
      </c>
      <c r="J102" s="46" t="s">
        <v>1620</v>
      </c>
      <c r="K102" s="46" t="s">
        <v>1621</v>
      </c>
      <c r="L102" s="46" t="s">
        <v>1622</v>
      </c>
      <c r="M102" s="46" t="s">
        <v>1623</v>
      </c>
      <c r="N102" s="46" t="s">
        <v>1624</v>
      </c>
      <c r="O102" s="46" t="s">
        <v>1625</v>
      </c>
    </row>
    <row r="103" spans="2:15">
      <c r="B103" s="46" t="s">
        <v>95</v>
      </c>
      <c r="C103" s="46" t="s">
        <v>1043</v>
      </c>
      <c r="D103" s="46" t="s">
        <v>1043</v>
      </c>
      <c r="H103" s="46" t="s">
        <v>1095</v>
      </c>
      <c r="I103" s="46" t="s">
        <v>1626</v>
      </c>
      <c r="J103" s="46" t="s">
        <v>1627</v>
      </c>
      <c r="K103" s="46" t="s">
        <v>1628</v>
      </c>
      <c r="L103" s="46" t="s">
        <v>1629</v>
      </c>
      <c r="M103" s="46" t="s">
        <v>1630</v>
      </c>
      <c r="N103" s="46" t="s">
        <v>1631</v>
      </c>
      <c r="O103" s="46" t="s">
        <v>1632</v>
      </c>
    </row>
    <row r="104" spans="2:15">
      <c r="B104" s="46" t="s">
        <v>96</v>
      </c>
      <c r="C104" s="46" t="s">
        <v>1043</v>
      </c>
      <c r="D104" s="46" t="s">
        <v>1043</v>
      </c>
      <c r="H104" s="46" t="s">
        <v>1095</v>
      </c>
      <c r="I104" s="46" t="s">
        <v>1633</v>
      </c>
      <c r="J104" s="46" t="s">
        <v>1634</v>
      </c>
      <c r="K104" s="46" t="s">
        <v>1635</v>
      </c>
      <c r="L104" s="46" t="s">
        <v>1636</v>
      </c>
      <c r="M104" s="46" t="s">
        <v>1637</v>
      </c>
      <c r="N104" s="46" t="s">
        <v>1638</v>
      </c>
      <c r="O104" s="46" t="s">
        <v>1639</v>
      </c>
    </row>
    <row r="105" spans="2:15">
      <c r="B105" s="46" t="s">
        <v>97</v>
      </c>
      <c r="C105" s="46" t="s">
        <v>1043</v>
      </c>
      <c r="D105" s="46" t="s">
        <v>1043</v>
      </c>
      <c r="H105" s="46" t="s">
        <v>1095</v>
      </c>
      <c r="I105" s="46" t="s">
        <v>1640</v>
      </c>
      <c r="J105" s="46" t="s">
        <v>1641</v>
      </c>
      <c r="K105" s="46" t="s">
        <v>1642</v>
      </c>
      <c r="L105" s="46" t="s">
        <v>1643</v>
      </c>
      <c r="M105" s="46" t="s">
        <v>1644</v>
      </c>
      <c r="N105" s="46" t="s">
        <v>1645</v>
      </c>
      <c r="O105" s="46" t="s">
        <v>1646</v>
      </c>
    </row>
    <row r="106" spans="2:15">
      <c r="B106" s="46" t="s">
        <v>98</v>
      </c>
      <c r="C106" s="46" t="s">
        <v>1043</v>
      </c>
      <c r="D106" s="46" t="s">
        <v>1043</v>
      </c>
      <c r="H106" s="46" t="s">
        <v>1095</v>
      </c>
      <c r="I106" s="46" t="s">
        <v>1647</v>
      </c>
      <c r="J106" s="46" t="s">
        <v>1648</v>
      </c>
      <c r="K106" s="46" t="s">
        <v>1649</v>
      </c>
      <c r="L106" s="46" t="s">
        <v>1650</v>
      </c>
      <c r="M106" s="46" t="s">
        <v>1651</v>
      </c>
      <c r="N106" s="46" t="s">
        <v>1652</v>
      </c>
      <c r="O106" s="46" t="s">
        <v>1653</v>
      </c>
    </row>
    <row r="107" spans="2:15">
      <c r="B107" s="46" t="s">
        <v>99</v>
      </c>
      <c r="C107" s="46" t="s">
        <v>1043</v>
      </c>
      <c r="D107" s="46" t="s">
        <v>1043</v>
      </c>
      <c r="H107" s="46" t="s">
        <v>1095</v>
      </c>
      <c r="I107" s="46" t="s">
        <v>1654</v>
      </c>
      <c r="J107" s="46" t="s">
        <v>1655</v>
      </c>
      <c r="K107" s="46" t="s">
        <v>1656</v>
      </c>
      <c r="L107" s="46" t="s">
        <v>1657</v>
      </c>
      <c r="M107" s="46" t="s">
        <v>1658</v>
      </c>
      <c r="N107" s="46" t="s">
        <v>1659</v>
      </c>
      <c r="O107" s="46" t="s">
        <v>1660</v>
      </c>
    </row>
    <row r="108" spans="2:15">
      <c r="B108" s="46" t="s">
        <v>100</v>
      </c>
      <c r="C108" s="46" t="s">
        <v>1043</v>
      </c>
      <c r="D108" s="46" t="s">
        <v>1043</v>
      </c>
      <c r="H108" s="46" t="s">
        <v>1095</v>
      </c>
      <c r="I108" s="46" t="s">
        <v>1661</v>
      </c>
      <c r="J108" s="46" t="s">
        <v>1662</v>
      </c>
      <c r="K108" s="46" t="s">
        <v>1663</v>
      </c>
      <c r="L108" s="46" t="s">
        <v>1664</v>
      </c>
      <c r="M108" s="46" t="s">
        <v>1665</v>
      </c>
      <c r="N108" s="46" t="s">
        <v>1666</v>
      </c>
      <c r="O108" s="46" t="s">
        <v>1667</v>
      </c>
    </row>
    <row r="109" spans="2:15">
      <c r="B109" s="46" t="s">
        <v>101</v>
      </c>
      <c r="C109" s="46" t="s">
        <v>1043</v>
      </c>
      <c r="D109" s="46" t="s">
        <v>1043</v>
      </c>
      <c r="H109" s="46" t="s">
        <v>1095</v>
      </c>
      <c r="I109" s="46" t="s">
        <v>1668</v>
      </c>
      <c r="J109" s="46" t="s">
        <v>1669</v>
      </c>
      <c r="K109" s="46" t="s">
        <v>1670</v>
      </c>
      <c r="L109" s="46" t="s">
        <v>1671</v>
      </c>
      <c r="M109" s="46" t="s">
        <v>1672</v>
      </c>
      <c r="N109" s="46" t="s">
        <v>1673</v>
      </c>
      <c r="O109" s="46" t="s">
        <v>1674</v>
      </c>
    </row>
    <row r="110" spans="2:15">
      <c r="B110" s="46" t="s">
        <v>102</v>
      </c>
      <c r="C110" s="46" t="s">
        <v>1043</v>
      </c>
      <c r="D110" s="46" t="s">
        <v>1043</v>
      </c>
      <c r="H110" s="46" t="s">
        <v>1095</v>
      </c>
      <c r="I110" s="46" t="s">
        <v>1675</v>
      </c>
      <c r="J110" s="46" t="s">
        <v>1676</v>
      </c>
      <c r="K110" s="46" t="s">
        <v>1677</v>
      </c>
      <c r="L110" s="46" t="s">
        <v>1678</v>
      </c>
      <c r="M110" s="46" t="s">
        <v>1679</v>
      </c>
      <c r="N110" s="46" t="s">
        <v>1680</v>
      </c>
      <c r="O110" s="46" t="s">
        <v>1681</v>
      </c>
    </row>
    <row r="111" spans="2:15">
      <c r="B111" s="46" t="s">
        <v>103</v>
      </c>
      <c r="C111" s="46" t="s">
        <v>1043</v>
      </c>
      <c r="D111" s="46" t="s">
        <v>1043</v>
      </c>
      <c r="H111" s="46" t="s">
        <v>1095</v>
      </c>
      <c r="I111" s="46" t="s">
        <v>1682</v>
      </c>
      <c r="J111" s="46" t="s">
        <v>1683</v>
      </c>
      <c r="K111" s="46" t="s">
        <v>1684</v>
      </c>
      <c r="L111" s="46" t="s">
        <v>1685</v>
      </c>
      <c r="M111" s="46" t="s">
        <v>1686</v>
      </c>
      <c r="N111" s="46" t="s">
        <v>1687</v>
      </c>
      <c r="O111" s="46" t="s">
        <v>1688</v>
      </c>
    </row>
    <row r="112" spans="2:15">
      <c r="B112" s="46" t="s">
        <v>104</v>
      </c>
      <c r="C112" s="46" t="s">
        <v>1043</v>
      </c>
      <c r="D112" s="46" t="s">
        <v>1043</v>
      </c>
      <c r="H112" s="46" t="s">
        <v>1095</v>
      </c>
      <c r="I112" s="46" t="s">
        <v>1689</v>
      </c>
      <c r="J112" s="46" t="s">
        <v>1690</v>
      </c>
      <c r="K112" s="46" t="s">
        <v>1691</v>
      </c>
      <c r="L112" s="46" t="s">
        <v>1692</v>
      </c>
      <c r="M112" s="46" t="s">
        <v>1693</v>
      </c>
      <c r="N112" s="46" t="s">
        <v>1694</v>
      </c>
      <c r="O112" s="46" t="s">
        <v>1695</v>
      </c>
    </row>
    <row r="113" spans="2:15">
      <c r="B113" s="46" t="s">
        <v>105</v>
      </c>
      <c r="C113" s="46" t="s">
        <v>1043</v>
      </c>
      <c r="D113" s="46" t="s">
        <v>1043</v>
      </c>
      <c r="H113" s="46" t="s">
        <v>1095</v>
      </c>
      <c r="I113" s="46" t="s">
        <v>1696</v>
      </c>
      <c r="J113" s="46" t="s">
        <v>1697</v>
      </c>
      <c r="K113" s="46" t="s">
        <v>1698</v>
      </c>
      <c r="L113" s="46" t="s">
        <v>1699</v>
      </c>
      <c r="M113" s="46" t="s">
        <v>1700</v>
      </c>
      <c r="N113" s="46" t="s">
        <v>1701</v>
      </c>
      <c r="O113" s="46" t="s">
        <v>1702</v>
      </c>
    </row>
    <row r="114" spans="2:15">
      <c r="B114" s="46" t="s">
        <v>106</v>
      </c>
      <c r="C114" s="46" t="s">
        <v>1043</v>
      </c>
      <c r="D114" s="46" t="s">
        <v>1043</v>
      </c>
      <c r="H114" s="46" t="s">
        <v>1095</v>
      </c>
      <c r="I114" s="46" t="s">
        <v>1703</v>
      </c>
      <c r="J114" s="46" t="s">
        <v>1704</v>
      </c>
      <c r="K114" s="46" t="s">
        <v>1705</v>
      </c>
      <c r="L114" s="46" t="s">
        <v>1706</v>
      </c>
      <c r="M114" s="46" t="s">
        <v>1707</v>
      </c>
      <c r="N114" s="46" t="s">
        <v>1708</v>
      </c>
      <c r="O114" s="46" t="s">
        <v>1709</v>
      </c>
    </row>
    <row r="115" spans="2:15">
      <c r="B115" s="46" t="s">
        <v>107</v>
      </c>
      <c r="C115" s="46" t="s">
        <v>1043</v>
      </c>
      <c r="D115" s="46" t="s">
        <v>1043</v>
      </c>
      <c r="H115" s="46" t="s">
        <v>1095</v>
      </c>
      <c r="I115" s="46" t="s">
        <v>1710</v>
      </c>
      <c r="J115" s="46" t="s">
        <v>1711</v>
      </c>
      <c r="K115" s="46" t="s">
        <v>1712</v>
      </c>
      <c r="L115" s="46" t="s">
        <v>1713</v>
      </c>
      <c r="M115" s="46" t="s">
        <v>1714</v>
      </c>
      <c r="N115" s="46" t="s">
        <v>1715</v>
      </c>
      <c r="O115" s="46" t="s">
        <v>1716</v>
      </c>
    </row>
    <row r="116" spans="2:15">
      <c r="B116" s="46" t="s">
        <v>108</v>
      </c>
      <c r="C116" s="46" t="s">
        <v>1043</v>
      </c>
      <c r="D116" s="46" t="s">
        <v>1043</v>
      </c>
      <c r="E116" s="46" t="s">
        <v>109</v>
      </c>
      <c r="F116" s="46" t="s">
        <v>1043</v>
      </c>
      <c r="G116" s="46" t="s">
        <v>1043</v>
      </c>
      <c r="H116" s="46" t="s">
        <v>1717</v>
      </c>
      <c r="I116" s="46" t="s">
        <v>1718</v>
      </c>
      <c r="J116" s="46" t="s">
        <v>1719</v>
      </c>
      <c r="K116" s="46" t="s">
        <v>1720</v>
      </c>
      <c r="L116" s="46" t="s">
        <v>1721</v>
      </c>
      <c r="M116" s="46" t="s">
        <v>1722</v>
      </c>
      <c r="N116" s="46" t="s">
        <v>1723</v>
      </c>
      <c r="O116" s="46" t="s">
        <v>1724</v>
      </c>
    </row>
    <row r="117" spans="2:15">
      <c r="B117" s="46" t="s">
        <v>108</v>
      </c>
      <c r="C117" s="46" t="s">
        <v>1043</v>
      </c>
      <c r="D117" s="46" t="s">
        <v>1043</v>
      </c>
      <c r="E117" s="46" t="s">
        <v>110</v>
      </c>
      <c r="F117" s="46" t="s">
        <v>1043</v>
      </c>
      <c r="G117" s="46" t="s">
        <v>1043</v>
      </c>
      <c r="H117" s="46" t="s">
        <v>1725</v>
      </c>
      <c r="I117" s="46" t="s">
        <v>1726</v>
      </c>
      <c r="J117" s="46" t="s">
        <v>1727</v>
      </c>
      <c r="K117" s="46" t="s">
        <v>1728</v>
      </c>
      <c r="L117" s="46" t="s">
        <v>1729</v>
      </c>
      <c r="M117" s="46" t="s">
        <v>1730</v>
      </c>
      <c r="N117" s="46" t="s">
        <v>1731</v>
      </c>
      <c r="O117" s="46" t="s">
        <v>1732</v>
      </c>
    </row>
    <row r="118" spans="2:15">
      <c r="B118" s="46" t="s">
        <v>108</v>
      </c>
      <c r="C118" s="46" t="s">
        <v>1043</v>
      </c>
      <c r="D118" s="46" t="s">
        <v>1043</v>
      </c>
      <c r="O118" s="46" t="s">
        <v>1733</v>
      </c>
    </row>
    <row r="119" spans="2:15">
      <c r="B119" s="46" t="s">
        <v>111</v>
      </c>
      <c r="C119" s="46" t="s">
        <v>1043</v>
      </c>
      <c r="D119" s="46" t="s">
        <v>1043</v>
      </c>
      <c r="H119" s="46" t="s">
        <v>1095</v>
      </c>
      <c r="I119" s="46" t="s">
        <v>1734</v>
      </c>
      <c r="J119" s="46" t="s">
        <v>1735</v>
      </c>
      <c r="K119" s="46" t="s">
        <v>1736</v>
      </c>
      <c r="L119" s="46" t="s">
        <v>1737</v>
      </c>
      <c r="M119" s="46" t="s">
        <v>1738</v>
      </c>
      <c r="N119" s="46" t="s">
        <v>1739</v>
      </c>
      <c r="O119" s="46" t="s">
        <v>1740</v>
      </c>
    </row>
    <row r="120" spans="2:15">
      <c r="B120" s="46" t="s">
        <v>112</v>
      </c>
      <c r="C120" s="46" t="s">
        <v>1043</v>
      </c>
      <c r="D120" s="46" t="s">
        <v>1043</v>
      </c>
      <c r="H120" s="46" t="s">
        <v>1095</v>
      </c>
      <c r="I120" s="46" t="s">
        <v>1741</v>
      </c>
      <c r="J120" s="46" t="s">
        <v>1742</v>
      </c>
      <c r="K120" s="46" t="s">
        <v>1743</v>
      </c>
      <c r="L120" s="46" t="s">
        <v>1744</v>
      </c>
      <c r="M120" s="46" t="s">
        <v>1745</v>
      </c>
      <c r="N120" s="46" t="s">
        <v>1746</v>
      </c>
      <c r="O120" s="46" t="s">
        <v>1747</v>
      </c>
    </row>
    <row r="121" spans="2:15">
      <c r="B121" s="46" t="s">
        <v>113</v>
      </c>
      <c r="C121" s="46" t="s">
        <v>1043</v>
      </c>
      <c r="D121" s="46" t="s">
        <v>1043</v>
      </c>
      <c r="H121" s="46" t="s">
        <v>1095</v>
      </c>
      <c r="I121" s="46" t="s">
        <v>1748</v>
      </c>
      <c r="J121" s="46" t="s">
        <v>1749</v>
      </c>
      <c r="K121" s="46" t="s">
        <v>1750</v>
      </c>
      <c r="L121" s="46" t="s">
        <v>1751</v>
      </c>
      <c r="M121" s="46" t="s">
        <v>1752</v>
      </c>
      <c r="N121" s="46" t="s">
        <v>1753</v>
      </c>
      <c r="O121" s="46" t="s">
        <v>1754</v>
      </c>
    </row>
    <row r="122" spans="2:15">
      <c r="B122" s="46" t="s">
        <v>114</v>
      </c>
      <c r="C122" s="46" t="s">
        <v>1043</v>
      </c>
      <c r="D122" s="46" t="s">
        <v>1043</v>
      </c>
      <c r="H122" s="46" t="s">
        <v>1095</v>
      </c>
      <c r="I122" s="46" t="s">
        <v>1755</v>
      </c>
      <c r="J122" s="46" t="s">
        <v>1756</v>
      </c>
      <c r="K122" s="46" t="s">
        <v>1757</v>
      </c>
      <c r="L122" s="46" t="s">
        <v>1758</v>
      </c>
      <c r="M122" s="46" t="s">
        <v>1759</v>
      </c>
      <c r="N122" s="46" t="s">
        <v>1760</v>
      </c>
      <c r="O122" s="46" t="s">
        <v>1761</v>
      </c>
    </row>
    <row r="123" spans="2:15">
      <c r="B123" s="46" t="s">
        <v>115</v>
      </c>
      <c r="C123" s="46" t="s">
        <v>1043</v>
      </c>
      <c r="D123" s="46" t="s">
        <v>1043</v>
      </c>
      <c r="H123" s="46" t="s">
        <v>1095</v>
      </c>
      <c r="I123" s="46" t="s">
        <v>1762</v>
      </c>
      <c r="J123" s="46" t="s">
        <v>1763</v>
      </c>
      <c r="K123" s="46" t="s">
        <v>1764</v>
      </c>
      <c r="L123" s="46" t="s">
        <v>1765</v>
      </c>
      <c r="M123" s="46" t="s">
        <v>1766</v>
      </c>
      <c r="N123" s="46" t="s">
        <v>1767</v>
      </c>
      <c r="O123" s="46" t="s">
        <v>1768</v>
      </c>
    </row>
    <row r="124" spans="2:15">
      <c r="B124" s="46" t="s">
        <v>116</v>
      </c>
      <c r="C124" s="46" t="s">
        <v>1043</v>
      </c>
      <c r="D124" s="46" t="s">
        <v>1043</v>
      </c>
      <c r="H124" s="46" t="s">
        <v>1095</v>
      </c>
      <c r="I124" s="46" t="s">
        <v>1769</v>
      </c>
      <c r="J124" s="46" t="s">
        <v>1770</v>
      </c>
      <c r="K124" s="46" t="s">
        <v>1771</v>
      </c>
      <c r="L124" s="46" t="s">
        <v>1772</v>
      </c>
      <c r="M124" s="46" t="s">
        <v>1773</v>
      </c>
      <c r="N124" s="46" t="s">
        <v>1774</v>
      </c>
      <c r="O124" s="46" t="s">
        <v>1775</v>
      </c>
    </row>
    <row r="125" spans="2:15">
      <c r="B125" s="46" t="s">
        <v>117</v>
      </c>
      <c r="C125" s="46" t="s">
        <v>1043</v>
      </c>
      <c r="D125" s="46" t="s">
        <v>1043</v>
      </c>
      <c r="H125" s="46" t="s">
        <v>1095</v>
      </c>
      <c r="I125" s="46" t="s">
        <v>1776</v>
      </c>
      <c r="J125" s="46" t="s">
        <v>1777</v>
      </c>
      <c r="K125" s="46" t="s">
        <v>1778</v>
      </c>
      <c r="L125" s="46" t="s">
        <v>1779</v>
      </c>
      <c r="M125" s="46" t="s">
        <v>1780</v>
      </c>
      <c r="N125" s="46" t="s">
        <v>1781</v>
      </c>
      <c r="O125" s="46" t="s">
        <v>1782</v>
      </c>
    </row>
    <row r="126" spans="2:15">
      <c r="B126" s="46" t="s">
        <v>118</v>
      </c>
      <c r="C126" s="46" t="s">
        <v>1043</v>
      </c>
      <c r="D126" s="46" t="s">
        <v>1043</v>
      </c>
      <c r="H126" s="46" t="s">
        <v>1095</v>
      </c>
      <c r="I126" s="46" t="s">
        <v>1783</v>
      </c>
      <c r="J126" s="46" t="s">
        <v>1784</v>
      </c>
      <c r="K126" s="46" t="s">
        <v>1785</v>
      </c>
      <c r="L126" s="46" t="s">
        <v>1786</v>
      </c>
      <c r="M126" s="46" t="s">
        <v>1787</v>
      </c>
      <c r="N126" s="46" t="s">
        <v>1788</v>
      </c>
      <c r="O126" s="46" t="s">
        <v>1789</v>
      </c>
    </row>
    <row r="127" spans="2:15">
      <c r="B127" s="46" t="s">
        <v>119</v>
      </c>
      <c r="C127" s="46" t="s">
        <v>1043</v>
      </c>
      <c r="D127" s="46" t="s">
        <v>1043</v>
      </c>
      <c r="H127" s="46" t="s">
        <v>1095</v>
      </c>
      <c r="I127" s="46" t="s">
        <v>1790</v>
      </c>
      <c r="J127" s="46" t="s">
        <v>1791</v>
      </c>
      <c r="K127" s="46" t="s">
        <v>1792</v>
      </c>
      <c r="L127" s="46" t="s">
        <v>1793</v>
      </c>
      <c r="M127" s="46" t="s">
        <v>1794</v>
      </c>
      <c r="N127" s="46" t="s">
        <v>1795</v>
      </c>
      <c r="O127" s="46" t="s">
        <v>1796</v>
      </c>
    </row>
    <row r="128" spans="2:15">
      <c r="B128" s="46" t="s">
        <v>120</v>
      </c>
      <c r="C128" s="46" t="s">
        <v>1043</v>
      </c>
      <c r="D128" s="46" t="s">
        <v>1043</v>
      </c>
      <c r="H128" s="46" t="s">
        <v>1095</v>
      </c>
      <c r="I128" s="46" t="s">
        <v>1797</v>
      </c>
      <c r="J128" s="46" t="s">
        <v>1798</v>
      </c>
      <c r="K128" s="46" t="s">
        <v>1799</v>
      </c>
      <c r="L128" s="46" t="s">
        <v>1800</v>
      </c>
      <c r="M128" s="46" t="s">
        <v>1801</v>
      </c>
      <c r="N128" s="46" t="s">
        <v>1802</v>
      </c>
      <c r="O128" s="46" t="s">
        <v>1803</v>
      </c>
    </row>
    <row r="129" spans="2:15">
      <c r="B129" s="46" t="s">
        <v>121</v>
      </c>
      <c r="C129" s="46" t="s">
        <v>1043</v>
      </c>
      <c r="D129" s="46" t="s">
        <v>1043</v>
      </c>
      <c r="H129" s="46" t="s">
        <v>1095</v>
      </c>
      <c r="I129" s="46" t="s">
        <v>1804</v>
      </c>
      <c r="J129" s="46" t="s">
        <v>1805</v>
      </c>
      <c r="K129" s="46" t="s">
        <v>1806</v>
      </c>
      <c r="L129" s="46" t="s">
        <v>1807</v>
      </c>
      <c r="M129" s="46" t="s">
        <v>1808</v>
      </c>
      <c r="N129" s="46" t="s">
        <v>1809</v>
      </c>
      <c r="O129" s="46" t="s">
        <v>1810</v>
      </c>
    </row>
    <row r="130" spans="2:15">
      <c r="B130" s="46" t="s">
        <v>122</v>
      </c>
      <c r="C130" s="46" t="s">
        <v>1043</v>
      </c>
      <c r="D130" s="46" t="s">
        <v>1043</v>
      </c>
      <c r="H130" s="46" t="s">
        <v>1095</v>
      </c>
      <c r="I130" s="46" t="s">
        <v>1811</v>
      </c>
      <c r="J130" s="46" t="s">
        <v>1812</v>
      </c>
      <c r="K130" s="46" t="s">
        <v>1813</v>
      </c>
      <c r="L130" s="46" t="s">
        <v>1814</v>
      </c>
      <c r="M130" s="46" t="s">
        <v>1815</v>
      </c>
      <c r="N130" s="46" t="s">
        <v>1816</v>
      </c>
      <c r="O130" s="46" t="s">
        <v>1817</v>
      </c>
    </row>
    <row r="131" spans="2:15">
      <c r="B131" s="46" t="s">
        <v>123</v>
      </c>
      <c r="C131" s="46" t="s">
        <v>1043</v>
      </c>
      <c r="D131" s="46" t="s">
        <v>1043</v>
      </c>
      <c r="H131" s="46" t="s">
        <v>1095</v>
      </c>
      <c r="I131" s="46" t="s">
        <v>1818</v>
      </c>
      <c r="J131" s="46" t="s">
        <v>1819</v>
      </c>
      <c r="K131" s="46" t="s">
        <v>1820</v>
      </c>
      <c r="L131" s="46" t="s">
        <v>1821</v>
      </c>
      <c r="M131" s="46" t="s">
        <v>1822</v>
      </c>
      <c r="N131" s="46" t="s">
        <v>1823</v>
      </c>
      <c r="O131" s="46" t="s">
        <v>1824</v>
      </c>
    </row>
    <row r="132" spans="2:15">
      <c r="B132" s="46" t="s">
        <v>124</v>
      </c>
      <c r="C132" s="46" t="s">
        <v>1043</v>
      </c>
      <c r="D132" s="46" t="s">
        <v>1043</v>
      </c>
      <c r="H132" s="46" t="s">
        <v>1095</v>
      </c>
      <c r="I132" s="46" t="s">
        <v>1825</v>
      </c>
      <c r="J132" s="46" t="s">
        <v>1826</v>
      </c>
      <c r="K132" s="46" t="s">
        <v>1827</v>
      </c>
      <c r="L132" s="46" t="s">
        <v>1828</v>
      </c>
      <c r="M132" s="46" t="s">
        <v>1829</v>
      </c>
      <c r="N132" s="46" t="s">
        <v>1830</v>
      </c>
      <c r="O132" s="46" t="s">
        <v>1831</v>
      </c>
    </row>
    <row r="133" spans="2:15">
      <c r="B133" s="46" t="s">
        <v>125</v>
      </c>
      <c r="C133" s="46" t="s">
        <v>1043</v>
      </c>
      <c r="D133" s="46" t="s">
        <v>1043</v>
      </c>
      <c r="H133" s="46" t="s">
        <v>1095</v>
      </c>
      <c r="I133" s="46" t="s">
        <v>1832</v>
      </c>
      <c r="J133" s="46" t="s">
        <v>1833</v>
      </c>
      <c r="K133" s="46" t="s">
        <v>1834</v>
      </c>
      <c r="L133" s="46" t="s">
        <v>1835</v>
      </c>
      <c r="M133" s="46" t="s">
        <v>1836</v>
      </c>
      <c r="N133" s="46" t="s">
        <v>1837</v>
      </c>
      <c r="O133" s="46" t="s">
        <v>1838</v>
      </c>
    </row>
    <row r="134" spans="2:15">
      <c r="B134" s="46" t="s">
        <v>126</v>
      </c>
      <c r="C134" s="46" t="s">
        <v>1043</v>
      </c>
      <c r="D134" s="46" t="s">
        <v>1043</v>
      </c>
      <c r="H134" s="46" t="s">
        <v>1095</v>
      </c>
      <c r="I134" s="46" t="s">
        <v>1839</v>
      </c>
      <c r="J134" s="46" t="s">
        <v>1840</v>
      </c>
      <c r="K134" s="46" t="s">
        <v>1841</v>
      </c>
      <c r="L134" s="46" t="s">
        <v>1842</v>
      </c>
      <c r="M134" s="46" t="s">
        <v>1843</v>
      </c>
      <c r="N134" s="46" t="s">
        <v>1844</v>
      </c>
      <c r="O134" s="46" t="s">
        <v>1845</v>
      </c>
    </row>
    <row r="135" spans="2:15">
      <c r="B135" s="46" t="s">
        <v>127</v>
      </c>
      <c r="C135" s="46" t="s">
        <v>1043</v>
      </c>
      <c r="D135" s="46" t="s">
        <v>1043</v>
      </c>
      <c r="H135" s="46" t="s">
        <v>1095</v>
      </c>
      <c r="I135" s="46" t="s">
        <v>1846</v>
      </c>
      <c r="J135" s="46" t="s">
        <v>1847</v>
      </c>
      <c r="K135" s="46" t="s">
        <v>1848</v>
      </c>
      <c r="L135" s="46" t="s">
        <v>1849</v>
      </c>
      <c r="M135" s="46" t="s">
        <v>1850</v>
      </c>
      <c r="N135" s="46" t="s">
        <v>1851</v>
      </c>
      <c r="O135" s="46" t="s">
        <v>1852</v>
      </c>
    </row>
    <row r="136" spans="2:15">
      <c r="B136" s="46" t="s">
        <v>128</v>
      </c>
      <c r="C136" s="46" t="s">
        <v>1043</v>
      </c>
      <c r="D136" s="46" t="s">
        <v>1043</v>
      </c>
      <c r="H136" s="46" t="s">
        <v>1095</v>
      </c>
      <c r="I136" s="46" t="s">
        <v>1853</v>
      </c>
      <c r="J136" s="46" t="s">
        <v>1854</v>
      </c>
      <c r="K136" s="46" t="s">
        <v>1855</v>
      </c>
      <c r="L136" s="46" t="s">
        <v>1856</v>
      </c>
      <c r="M136" s="46" t="s">
        <v>1857</v>
      </c>
      <c r="N136" s="46" t="s">
        <v>1858</v>
      </c>
      <c r="O136" s="46" t="s">
        <v>1859</v>
      </c>
    </row>
    <row r="137" spans="2:15">
      <c r="B137" s="46" t="s">
        <v>129</v>
      </c>
      <c r="C137" s="46" t="s">
        <v>1043</v>
      </c>
      <c r="D137" s="46" t="s">
        <v>1043</v>
      </c>
      <c r="H137" s="46" t="s">
        <v>1095</v>
      </c>
      <c r="I137" s="46" t="s">
        <v>1860</v>
      </c>
      <c r="J137" s="46" t="s">
        <v>1861</v>
      </c>
      <c r="K137" s="46" t="s">
        <v>1862</v>
      </c>
      <c r="L137" s="46" t="s">
        <v>1863</v>
      </c>
      <c r="M137" s="46" t="s">
        <v>1864</v>
      </c>
      <c r="N137" s="46" t="s">
        <v>1865</v>
      </c>
      <c r="O137" s="46" t="s">
        <v>1866</v>
      </c>
    </row>
    <row r="138" spans="2:15">
      <c r="B138" s="46" t="s">
        <v>130</v>
      </c>
      <c r="C138" s="46" t="s">
        <v>1043</v>
      </c>
      <c r="D138" s="46" t="s">
        <v>1043</v>
      </c>
      <c r="H138" s="46" t="s">
        <v>1095</v>
      </c>
      <c r="I138" s="46" t="s">
        <v>1867</v>
      </c>
      <c r="J138" s="46" t="s">
        <v>1868</v>
      </c>
      <c r="K138" s="46" t="s">
        <v>1869</v>
      </c>
      <c r="L138" s="46" t="s">
        <v>1870</v>
      </c>
      <c r="M138" s="46" t="s">
        <v>1871</v>
      </c>
      <c r="N138" s="46" t="s">
        <v>1872</v>
      </c>
      <c r="O138" s="46" t="s">
        <v>1873</v>
      </c>
    </row>
    <row r="139" spans="2:15">
      <c r="B139" s="46" t="s">
        <v>131</v>
      </c>
      <c r="C139" s="46" t="s">
        <v>1043</v>
      </c>
      <c r="D139" s="46" t="s">
        <v>1043</v>
      </c>
      <c r="H139" s="46" t="s">
        <v>1095</v>
      </c>
      <c r="I139" s="46" t="s">
        <v>1874</v>
      </c>
      <c r="J139" s="46" t="s">
        <v>1875</v>
      </c>
      <c r="K139" s="46" t="s">
        <v>1876</v>
      </c>
      <c r="L139" s="46" t="s">
        <v>1877</v>
      </c>
      <c r="M139" s="46" t="s">
        <v>1878</v>
      </c>
      <c r="N139" s="46" t="s">
        <v>1879</v>
      </c>
      <c r="O139" s="46" t="s">
        <v>1880</v>
      </c>
    </row>
    <row r="140" spans="2:15">
      <c r="B140" s="46" t="s">
        <v>132</v>
      </c>
      <c r="C140" s="46" t="s">
        <v>1043</v>
      </c>
      <c r="D140" s="46" t="s">
        <v>1043</v>
      </c>
      <c r="H140" s="46" t="s">
        <v>1095</v>
      </c>
      <c r="I140" s="46" t="s">
        <v>1881</v>
      </c>
      <c r="J140" s="46" t="s">
        <v>1882</v>
      </c>
      <c r="K140" s="46" t="s">
        <v>1883</v>
      </c>
      <c r="L140" s="46" t="s">
        <v>1884</v>
      </c>
      <c r="M140" s="46" t="s">
        <v>1885</v>
      </c>
      <c r="N140" s="46" t="s">
        <v>1886</v>
      </c>
      <c r="O140" s="46" t="s">
        <v>1887</v>
      </c>
    </row>
    <row r="141" spans="2:15">
      <c r="B141" s="46" t="s">
        <v>133</v>
      </c>
      <c r="C141" s="46" t="s">
        <v>1043</v>
      </c>
      <c r="D141" s="46" t="s">
        <v>1043</v>
      </c>
      <c r="H141" s="46" t="s">
        <v>1095</v>
      </c>
      <c r="I141" s="46" t="s">
        <v>1888</v>
      </c>
      <c r="J141" s="46" t="s">
        <v>1889</v>
      </c>
      <c r="K141" s="46" t="s">
        <v>1890</v>
      </c>
      <c r="L141" s="46" t="s">
        <v>1891</v>
      </c>
      <c r="M141" s="46" t="s">
        <v>1892</v>
      </c>
      <c r="N141" s="46" t="s">
        <v>1893</v>
      </c>
      <c r="O141" s="46" t="s">
        <v>1894</v>
      </c>
    </row>
    <row r="142" spans="2:15">
      <c r="B142" s="46" t="s">
        <v>134</v>
      </c>
      <c r="C142" s="46" t="s">
        <v>1043</v>
      </c>
      <c r="D142" s="46" t="s">
        <v>1043</v>
      </c>
      <c r="H142" s="46" t="s">
        <v>1095</v>
      </c>
      <c r="I142" s="46" t="s">
        <v>1895</v>
      </c>
      <c r="J142" s="46" t="s">
        <v>1896</v>
      </c>
      <c r="K142" s="46" t="s">
        <v>1897</v>
      </c>
      <c r="L142" s="46" t="s">
        <v>1898</v>
      </c>
      <c r="M142" s="46" t="s">
        <v>1899</v>
      </c>
      <c r="N142" s="46" t="s">
        <v>1900</v>
      </c>
      <c r="O142" s="46" t="s">
        <v>1901</v>
      </c>
    </row>
    <row r="143" spans="2:15">
      <c r="B143" s="46" t="s">
        <v>135</v>
      </c>
      <c r="C143" s="46" t="s">
        <v>1043</v>
      </c>
      <c r="D143" s="46" t="s">
        <v>1043</v>
      </c>
      <c r="H143" s="46" t="s">
        <v>1095</v>
      </c>
      <c r="I143" s="46" t="s">
        <v>1902</v>
      </c>
      <c r="J143" s="46" t="s">
        <v>1903</v>
      </c>
      <c r="K143" s="46" t="s">
        <v>1904</v>
      </c>
      <c r="L143" s="46" t="s">
        <v>1905</v>
      </c>
      <c r="M143" s="46" t="s">
        <v>1906</v>
      </c>
      <c r="N143" s="46" t="s">
        <v>1907</v>
      </c>
      <c r="O143" s="46" t="s">
        <v>1908</v>
      </c>
    </row>
    <row r="144" spans="2:15">
      <c r="B144" s="46" t="s">
        <v>136</v>
      </c>
      <c r="C144" s="46" t="s">
        <v>1043</v>
      </c>
      <c r="D144" s="46" t="s">
        <v>1043</v>
      </c>
      <c r="H144" s="46" t="s">
        <v>1095</v>
      </c>
      <c r="I144" s="46" t="s">
        <v>1909</v>
      </c>
      <c r="J144" s="46" t="s">
        <v>1910</v>
      </c>
      <c r="K144" s="46" t="s">
        <v>1911</v>
      </c>
      <c r="L144" s="46" t="s">
        <v>1912</v>
      </c>
      <c r="M144" s="46" t="s">
        <v>1913</v>
      </c>
      <c r="N144" s="46" t="s">
        <v>1914</v>
      </c>
      <c r="O144" s="46" t="s">
        <v>1915</v>
      </c>
    </row>
    <row r="145" spans="2:15">
      <c r="B145" s="46" t="s">
        <v>137</v>
      </c>
      <c r="C145" s="46" t="s">
        <v>1043</v>
      </c>
      <c r="D145" s="46" t="s">
        <v>1043</v>
      </c>
      <c r="H145" s="46" t="s">
        <v>1095</v>
      </c>
      <c r="I145" s="46" t="s">
        <v>1916</v>
      </c>
      <c r="J145" s="46" t="s">
        <v>1917</v>
      </c>
      <c r="K145" s="46" t="s">
        <v>1918</v>
      </c>
      <c r="L145" s="46" t="s">
        <v>1919</v>
      </c>
      <c r="M145" s="46" t="s">
        <v>1920</v>
      </c>
      <c r="N145" s="46" t="s">
        <v>1921</v>
      </c>
      <c r="O145" s="46" t="s">
        <v>1922</v>
      </c>
    </row>
    <row r="146" spans="2:15">
      <c r="B146" s="46" t="s">
        <v>138</v>
      </c>
      <c r="C146" s="46" t="s">
        <v>1043</v>
      </c>
      <c r="D146" s="46" t="s">
        <v>1043</v>
      </c>
      <c r="H146" s="46" t="s">
        <v>1095</v>
      </c>
      <c r="I146" s="46" t="s">
        <v>1923</v>
      </c>
      <c r="J146" s="46" t="s">
        <v>1924</v>
      </c>
      <c r="K146" s="46" t="s">
        <v>1925</v>
      </c>
      <c r="L146" s="46" t="s">
        <v>1926</v>
      </c>
      <c r="M146" s="46" t="s">
        <v>1927</v>
      </c>
      <c r="N146" s="46" t="s">
        <v>1928</v>
      </c>
      <c r="O146" s="46" t="s">
        <v>1929</v>
      </c>
    </row>
    <row r="147" spans="2:15">
      <c r="B147" s="46" t="s">
        <v>139</v>
      </c>
      <c r="C147" s="46" t="s">
        <v>1043</v>
      </c>
      <c r="D147" s="46" t="s">
        <v>1043</v>
      </c>
      <c r="H147" s="46" t="s">
        <v>1095</v>
      </c>
      <c r="I147" s="46" t="s">
        <v>1930</v>
      </c>
      <c r="J147" s="46" t="s">
        <v>1931</v>
      </c>
      <c r="K147" s="46" t="s">
        <v>1932</v>
      </c>
      <c r="L147" s="46" t="s">
        <v>1933</v>
      </c>
      <c r="M147" s="46" t="s">
        <v>1934</v>
      </c>
      <c r="N147" s="46" t="s">
        <v>1935</v>
      </c>
      <c r="O147" s="46" t="s">
        <v>1936</v>
      </c>
    </row>
    <row r="148" spans="2:15">
      <c r="B148" s="46" t="s">
        <v>140</v>
      </c>
      <c r="C148" s="46" t="s">
        <v>1043</v>
      </c>
      <c r="D148" s="46" t="s">
        <v>1043</v>
      </c>
      <c r="H148" s="46" t="s">
        <v>1095</v>
      </c>
      <c r="I148" s="46" t="s">
        <v>1937</v>
      </c>
      <c r="J148" s="46" t="s">
        <v>1938</v>
      </c>
      <c r="K148" s="46" t="s">
        <v>1939</v>
      </c>
      <c r="L148" s="46" t="s">
        <v>1940</v>
      </c>
      <c r="M148" s="46" t="s">
        <v>1941</v>
      </c>
      <c r="N148" s="46" t="s">
        <v>1942</v>
      </c>
      <c r="O148" s="46" t="s">
        <v>1943</v>
      </c>
    </row>
    <row r="149" spans="2:15">
      <c r="B149" s="46" t="s">
        <v>141</v>
      </c>
      <c r="C149" s="46" t="s">
        <v>1043</v>
      </c>
      <c r="D149" s="46" t="s">
        <v>1043</v>
      </c>
      <c r="H149" s="46" t="s">
        <v>1095</v>
      </c>
      <c r="I149" s="46" t="s">
        <v>1944</v>
      </c>
      <c r="J149" s="46" t="s">
        <v>1945</v>
      </c>
      <c r="K149" s="46" t="s">
        <v>1946</v>
      </c>
      <c r="L149" s="46" t="s">
        <v>1947</v>
      </c>
      <c r="M149" s="46" t="s">
        <v>1948</v>
      </c>
      <c r="N149" s="46" t="s">
        <v>1949</v>
      </c>
      <c r="O149" s="46" t="s">
        <v>1950</v>
      </c>
    </row>
    <row r="150" spans="2:15">
      <c r="B150" s="46" t="s">
        <v>142</v>
      </c>
      <c r="C150" s="46" t="s">
        <v>1043</v>
      </c>
      <c r="D150" s="46" t="s">
        <v>1043</v>
      </c>
      <c r="H150" s="46" t="s">
        <v>1095</v>
      </c>
      <c r="I150" s="46" t="s">
        <v>1951</v>
      </c>
      <c r="J150" s="46" t="s">
        <v>1952</v>
      </c>
      <c r="K150" s="46" t="s">
        <v>1953</v>
      </c>
      <c r="L150" s="46" t="s">
        <v>1954</v>
      </c>
      <c r="M150" s="46" t="s">
        <v>1955</v>
      </c>
      <c r="N150" s="46" t="s">
        <v>1956</v>
      </c>
      <c r="O150" s="46" t="s">
        <v>1957</v>
      </c>
    </row>
    <row r="151" spans="2:15">
      <c r="B151" s="46" t="s">
        <v>143</v>
      </c>
      <c r="C151" s="46" t="s">
        <v>1043</v>
      </c>
      <c r="D151" s="46" t="s">
        <v>1043</v>
      </c>
      <c r="H151" s="46" t="s">
        <v>1095</v>
      </c>
      <c r="I151" s="46" t="s">
        <v>1958</v>
      </c>
      <c r="J151" s="46" t="s">
        <v>1959</v>
      </c>
      <c r="K151" s="46" t="s">
        <v>1960</v>
      </c>
      <c r="L151" s="46" t="s">
        <v>1961</v>
      </c>
      <c r="M151" s="46" t="s">
        <v>1962</v>
      </c>
      <c r="N151" s="46" t="s">
        <v>1963</v>
      </c>
      <c r="O151" s="46" t="s">
        <v>1964</v>
      </c>
    </row>
    <row r="152" spans="2:15">
      <c r="B152" s="46" t="s">
        <v>144</v>
      </c>
      <c r="C152" s="46" t="s">
        <v>1043</v>
      </c>
      <c r="D152" s="46" t="s">
        <v>1043</v>
      </c>
      <c r="H152" s="46" t="s">
        <v>1095</v>
      </c>
      <c r="I152" s="46" t="s">
        <v>1965</v>
      </c>
      <c r="J152" s="46" t="s">
        <v>1966</v>
      </c>
      <c r="K152" s="46" t="s">
        <v>1967</v>
      </c>
      <c r="L152" s="46" t="s">
        <v>1968</v>
      </c>
      <c r="M152" s="46" t="s">
        <v>1969</v>
      </c>
      <c r="N152" s="46" t="s">
        <v>1970</v>
      </c>
      <c r="O152" s="46" t="s">
        <v>1971</v>
      </c>
    </row>
    <row r="153" spans="2:15">
      <c r="B153" s="46" t="s">
        <v>145</v>
      </c>
      <c r="C153" s="46" t="s">
        <v>1043</v>
      </c>
      <c r="D153" s="46" t="s">
        <v>1043</v>
      </c>
      <c r="H153" s="46" t="s">
        <v>1095</v>
      </c>
      <c r="I153" s="46" t="s">
        <v>1972</v>
      </c>
      <c r="J153" s="46" t="s">
        <v>1973</v>
      </c>
      <c r="K153" s="46" t="s">
        <v>1974</v>
      </c>
      <c r="L153" s="46" t="s">
        <v>1975</v>
      </c>
      <c r="M153" s="46" t="s">
        <v>1976</v>
      </c>
      <c r="N153" s="46" t="s">
        <v>1977</v>
      </c>
      <c r="O153" s="46" t="s">
        <v>1978</v>
      </c>
    </row>
    <row r="154" spans="2:15">
      <c r="B154" s="46" t="s">
        <v>146</v>
      </c>
      <c r="C154" s="46" t="s">
        <v>1043</v>
      </c>
      <c r="D154" s="46" t="s">
        <v>1043</v>
      </c>
      <c r="H154" s="46" t="s">
        <v>1095</v>
      </c>
      <c r="I154" s="46" t="s">
        <v>1979</v>
      </c>
      <c r="J154" s="46" t="s">
        <v>1980</v>
      </c>
      <c r="K154" s="46" t="s">
        <v>1981</v>
      </c>
      <c r="L154" s="46" t="s">
        <v>1982</v>
      </c>
      <c r="M154" s="46" t="s">
        <v>1983</v>
      </c>
      <c r="N154" s="46" t="s">
        <v>1984</v>
      </c>
      <c r="O154" s="46" t="s">
        <v>1985</v>
      </c>
    </row>
    <row r="155" spans="2:15">
      <c r="B155" s="46" t="s">
        <v>147</v>
      </c>
      <c r="C155" s="46" t="s">
        <v>1043</v>
      </c>
      <c r="D155" s="46" t="s">
        <v>1043</v>
      </c>
      <c r="H155" s="46" t="s">
        <v>1095</v>
      </c>
      <c r="I155" s="46" t="s">
        <v>1986</v>
      </c>
      <c r="J155" s="46" t="s">
        <v>1987</v>
      </c>
      <c r="K155" s="46" t="s">
        <v>1988</v>
      </c>
      <c r="L155" s="46" t="s">
        <v>1989</v>
      </c>
      <c r="M155" s="46" t="s">
        <v>1990</v>
      </c>
      <c r="N155" s="46" t="s">
        <v>1991</v>
      </c>
      <c r="O155" s="46" t="s">
        <v>1992</v>
      </c>
    </row>
    <row r="156" spans="2:15">
      <c r="B156" s="46" t="s">
        <v>148</v>
      </c>
      <c r="C156" s="46" t="s">
        <v>1043</v>
      </c>
      <c r="D156" s="46" t="s">
        <v>1043</v>
      </c>
      <c r="H156" s="46" t="s">
        <v>1095</v>
      </c>
      <c r="I156" s="46" t="s">
        <v>1993</v>
      </c>
      <c r="J156" s="46" t="s">
        <v>1994</v>
      </c>
      <c r="K156" s="46" t="s">
        <v>1995</v>
      </c>
      <c r="L156" s="46" t="s">
        <v>1996</v>
      </c>
      <c r="M156" s="46" t="s">
        <v>1997</v>
      </c>
      <c r="N156" s="46" t="s">
        <v>1998</v>
      </c>
      <c r="O156" s="46" t="s">
        <v>1999</v>
      </c>
    </row>
    <row r="157" spans="2:15">
      <c r="B157" s="46" t="s">
        <v>149</v>
      </c>
      <c r="C157" s="46" t="s">
        <v>1043</v>
      </c>
      <c r="D157" s="46" t="s">
        <v>1043</v>
      </c>
      <c r="E157" s="46" t="s">
        <v>27</v>
      </c>
      <c r="F157" s="46" t="s">
        <v>1043</v>
      </c>
      <c r="G157" s="46" t="s">
        <v>1043</v>
      </c>
      <c r="H157" s="46" t="s">
        <v>2000</v>
      </c>
      <c r="I157" s="46" t="s">
        <v>2001</v>
      </c>
      <c r="J157" s="46" t="s">
        <v>2002</v>
      </c>
      <c r="K157" s="46" t="s">
        <v>2003</v>
      </c>
      <c r="L157" s="46" t="s">
        <v>2004</v>
      </c>
      <c r="M157" s="46" t="s">
        <v>2005</v>
      </c>
      <c r="N157" s="46" t="s">
        <v>2006</v>
      </c>
      <c r="O157" s="46" t="s">
        <v>2007</v>
      </c>
    </row>
    <row r="158" spans="2:15">
      <c r="B158" s="46" t="s">
        <v>149</v>
      </c>
      <c r="C158" s="46" t="s">
        <v>1043</v>
      </c>
      <c r="D158" s="46" t="s">
        <v>1043</v>
      </c>
      <c r="E158" s="46" t="s">
        <v>150</v>
      </c>
      <c r="F158" s="46" t="s">
        <v>1043</v>
      </c>
      <c r="G158" s="46" t="s">
        <v>1043</v>
      </c>
      <c r="H158" s="46" t="s">
        <v>2008</v>
      </c>
      <c r="I158" s="46" t="s">
        <v>2009</v>
      </c>
      <c r="J158" s="46" t="s">
        <v>2010</v>
      </c>
      <c r="K158" s="46" t="s">
        <v>2011</v>
      </c>
      <c r="L158" s="46" t="s">
        <v>2012</v>
      </c>
      <c r="M158" s="46" t="s">
        <v>2013</v>
      </c>
      <c r="N158" s="46" t="s">
        <v>2014</v>
      </c>
      <c r="O158" s="46" t="s">
        <v>2015</v>
      </c>
    </row>
    <row r="159" spans="2:15">
      <c r="B159" s="46" t="s">
        <v>149</v>
      </c>
      <c r="C159" s="46" t="s">
        <v>1043</v>
      </c>
      <c r="D159" s="46" t="s">
        <v>1043</v>
      </c>
      <c r="O159" s="46" t="s">
        <v>2016</v>
      </c>
    </row>
    <row r="160" spans="2:15">
      <c r="B160" s="46" t="s">
        <v>151</v>
      </c>
      <c r="C160" s="46" t="s">
        <v>1043</v>
      </c>
      <c r="D160" s="46" t="s">
        <v>1043</v>
      </c>
      <c r="E160" s="46" t="s">
        <v>27</v>
      </c>
      <c r="F160" s="46" t="s">
        <v>1043</v>
      </c>
      <c r="G160" s="46" t="s">
        <v>1043</v>
      </c>
      <c r="H160" s="46" t="s">
        <v>2017</v>
      </c>
      <c r="I160" s="46" t="s">
        <v>2018</v>
      </c>
      <c r="J160" s="46" t="s">
        <v>2019</v>
      </c>
      <c r="K160" s="46" t="s">
        <v>2020</v>
      </c>
      <c r="L160" s="46" t="s">
        <v>2021</v>
      </c>
      <c r="M160" s="46" t="s">
        <v>2022</v>
      </c>
      <c r="N160" s="46" t="s">
        <v>2023</v>
      </c>
      <c r="O160" s="46" t="s">
        <v>2024</v>
      </c>
    </row>
    <row r="161" spans="2:15">
      <c r="B161" s="46" t="s">
        <v>151</v>
      </c>
      <c r="C161" s="46" t="s">
        <v>1043</v>
      </c>
      <c r="D161" s="46" t="s">
        <v>1043</v>
      </c>
      <c r="E161" s="46" t="s">
        <v>152</v>
      </c>
      <c r="F161" s="46" t="s">
        <v>1043</v>
      </c>
      <c r="G161" s="46" t="s">
        <v>1043</v>
      </c>
      <c r="H161" s="46" t="s">
        <v>2025</v>
      </c>
      <c r="I161" s="46" t="s">
        <v>2026</v>
      </c>
      <c r="J161" s="46" t="s">
        <v>2027</v>
      </c>
      <c r="K161" s="46" t="s">
        <v>2028</v>
      </c>
      <c r="L161" s="46" t="s">
        <v>2029</v>
      </c>
      <c r="M161" s="46" t="s">
        <v>2030</v>
      </c>
      <c r="N161" s="46" t="s">
        <v>2031</v>
      </c>
      <c r="O161" s="46" t="s">
        <v>2032</v>
      </c>
    </row>
    <row r="162" spans="2:15">
      <c r="B162" s="46" t="s">
        <v>151</v>
      </c>
      <c r="C162" s="46" t="s">
        <v>1043</v>
      </c>
      <c r="D162" s="46" t="s">
        <v>1043</v>
      </c>
      <c r="O162" s="46" t="s">
        <v>2033</v>
      </c>
    </row>
    <row r="163" spans="2:15">
      <c r="B163" s="46" t="s">
        <v>153</v>
      </c>
      <c r="C163" s="46" t="s">
        <v>1043</v>
      </c>
      <c r="D163" s="46" t="s">
        <v>1043</v>
      </c>
      <c r="E163" s="46" t="s">
        <v>27</v>
      </c>
      <c r="F163" s="46" t="s">
        <v>1043</v>
      </c>
      <c r="G163" s="46" t="s">
        <v>1043</v>
      </c>
      <c r="H163" s="46" t="s">
        <v>2034</v>
      </c>
      <c r="I163" s="46" t="s">
        <v>2035</v>
      </c>
      <c r="J163" s="46" t="s">
        <v>2036</v>
      </c>
      <c r="K163" s="46" t="s">
        <v>2037</v>
      </c>
      <c r="L163" s="46" t="s">
        <v>2038</v>
      </c>
      <c r="M163" s="46" t="s">
        <v>2039</v>
      </c>
      <c r="N163" s="46" t="s">
        <v>2040</v>
      </c>
      <c r="O163" s="46" t="s">
        <v>2041</v>
      </c>
    </row>
    <row r="164" spans="2:15">
      <c r="B164" s="46" t="s">
        <v>153</v>
      </c>
      <c r="C164" s="46" t="s">
        <v>1043</v>
      </c>
      <c r="D164" s="46" t="s">
        <v>1043</v>
      </c>
      <c r="E164" s="46" t="s">
        <v>154</v>
      </c>
      <c r="F164" s="46" t="s">
        <v>1043</v>
      </c>
      <c r="G164" s="46" t="s">
        <v>1043</v>
      </c>
      <c r="H164" s="46" t="s">
        <v>2042</v>
      </c>
      <c r="I164" s="46" t="s">
        <v>2043</v>
      </c>
      <c r="J164" s="46" t="s">
        <v>2044</v>
      </c>
      <c r="K164" s="46" t="s">
        <v>2045</v>
      </c>
      <c r="L164" s="46" t="s">
        <v>2046</v>
      </c>
      <c r="M164" s="46" t="s">
        <v>2047</v>
      </c>
      <c r="N164" s="46" t="s">
        <v>2048</v>
      </c>
      <c r="O164" s="46" t="s">
        <v>2049</v>
      </c>
    </row>
    <row r="165" spans="2:15">
      <c r="B165" s="46" t="s">
        <v>153</v>
      </c>
      <c r="C165" s="46" t="s">
        <v>1043</v>
      </c>
      <c r="D165" s="46" t="s">
        <v>1043</v>
      </c>
      <c r="O165" s="46" t="s">
        <v>2050</v>
      </c>
    </row>
    <row r="166" spans="2:15">
      <c r="B166" s="46" t="s">
        <v>155</v>
      </c>
      <c r="C166" s="46" t="s">
        <v>1043</v>
      </c>
      <c r="D166" s="46" t="s">
        <v>1043</v>
      </c>
      <c r="E166" s="46" t="s">
        <v>27</v>
      </c>
      <c r="F166" s="46" t="s">
        <v>1043</v>
      </c>
      <c r="G166" s="46" t="s">
        <v>1043</v>
      </c>
      <c r="H166" s="46" t="s">
        <v>2051</v>
      </c>
      <c r="I166" s="46" t="s">
        <v>2052</v>
      </c>
      <c r="J166" s="46" t="s">
        <v>2053</v>
      </c>
      <c r="K166" s="46" t="s">
        <v>2054</v>
      </c>
      <c r="L166" s="46" t="s">
        <v>2055</v>
      </c>
      <c r="M166" s="46" t="s">
        <v>2056</v>
      </c>
      <c r="N166" s="46" t="s">
        <v>2057</v>
      </c>
      <c r="O166" s="46" t="s">
        <v>2058</v>
      </c>
    </row>
    <row r="167" spans="2:15">
      <c r="B167" s="46" t="s">
        <v>155</v>
      </c>
      <c r="C167" s="46" t="s">
        <v>1043</v>
      </c>
      <c r="D167" s="46" t="s">
        <v>1043</v>
      </c>
      <c r="E167" s="46" t="s">
        <v>156</v>
      </c>
      <c r="F167" s="46" t="s">
        <v>1043</v>
      </c>
      <c r="G167" s="46" t="s">
        <v>1043</v>
      </c>
      <c r="H167" s="46" t="s">
        <v>2059</v>
      </c>
      <c r="I167" s="46" t="s">
        <v>2060</v>
      </c>
      <c r="J167" s="46" t="s">
        <v>2061</v>
      </c>
      <c r="K167" s="46" t="s">
        <v>2062</v>
      </c>
      <c r="L167" s="46" t="s">
        <v>2063</v>
      </c>
      <c r="M167" s="46" t="s">
        <v>2064</v>
      </c>
      <c r="N167" s="46" t="s">
        <v>2065</v>
      </c>
      <c r="O167" s="46" t="s">
        <v>2066</v>
      </c>
    </row>
    <row r="168" spans="2:15">
      <c r="B168" s="46" t="s">
        <v>155</v>
      </c>
      <c r="C168" s="46" t="s">
        <v>1043</v>
      </c>
      <c r="D168" s="46" t="s">
        <v>1043</v>
      </c>
      <c r="O168" s="46" t="s">
        <v>2067</v>
      </c>
    </row>
    <row r="169" spans="2:15">
      <c r="B169" s="46" t="s">
        <v>157</v>
      </c>
      <c r="C169" s="46" t="s">
        <v>1043</v>
      </c>
      <c r="D169" s="46" t="s">
        <v>1043</v>
      </c>
      <c r="E169" s="46" t="s">
        <v>27</v>
      </c>
      <c r="F169" s="46" t="s">
        <v>1043</v>
      </c>
      <c r="G169" s="46" t="s">
        <v>1043</v>
      </c>
      <c r="H169" s="46" t="s">
        <v>2068</v>
      </c>
      <c r="I169" s="46" t="s">
        <v>2069</v>
      </c>
      <c r="J169" s="46" t="s">
        <v>2070</v>
      </c>
      <c r="K169" s="46" t="s">
        <v>2071</v>
      </c>
      <c r="L169" s="46" t="s">
        <v>2072</v>
      </c>
      <c r="M169" s="46" t="s">
        <v>2073</v>
      </c>
      <c r="N169" s="46" t="s">
        <v>2074</v>
      </c>
      <c r="O169" s="46" t="s">
        <v>2075</v>
      </c>
    </row>
    <row r="170" spans="2:15">
      <c r="B170" s="46" t="s">
        <v>157</v>
      </c>
      <c r="C170" s="46" t="s">
        <v>1043</v>
      </c>
      <c r="D170" s="46" t="s">
        <v>1043</v>
      </c>
      <c r="E170" s="46" t="s">
        <v>158</v>
      </c>
      <c r="F170" s="46" t="s">
        <v>1043</v>
      </c>
      <c r="G170" s="46" t="s">
        <v>1043</v>
      </c>
      <c r="H170" s="46" t="s">
        <v>2076</v>
      </c>
      <c r="I170" s="46" t="s">
        <v>2077</v>
      </c>
      <c r="J170" s="46" t="s">
        <v>2078</v>
      </c>
      <c r="K170" s="46" t="s">
        <v>2079</v>
      </c>
      <c r="L170" s="46" t="s">
        <v>2080</v>
      </c>
      <c r="M170" s="46" t="s">
        <v>2081</v>
      </c>
      <c r="N170" s="46" t="s">
        <v>2082</v>
      </c>
      <c r="O170" s="46" t="s">
        <v>2083</v>
      </c>
    </row>
    <row r="171" spans="2:15">
      <c r="B171" s="46" t="s">
        <v>157</v>
      </c>
      <c r="C171" s="46" t="s">
        <v>1043</v>
      </c>
      <c r="D171" s="46" t="s">
        <v>1043</v>
      </c>
      <c r="O171" s="46" t="s">
        <v>2084</v>
      </c>
    </row>
    <row r="172" spans="2:15">
      <c r="B172" s="46" t="s">
        <v>159</v>
      </c>
      <c r="C172" s="46" t="s">
        <v>1043</v>
      </c>
      <c r="D172" s="46" t="s">
        <v>1043</v>
      </c>
      <c r="E172" s="46" t="s">
        <v>27</v>
      </c>
      <c r="F172" s="46" t="s">
        <v>1043</v>
      </c>
      <c r="G172" s="46" t="s">
        <v>1043</v>
      </c>
      <c r="H172" s="46" t="s">
        <v>2085</v>
      </c>
      <c r="I172" s="46" t="s">
        <v>2086</v>
      </c>
      <c r="J172" s="46" t="s">
        <v>2087</v>
      </c>
      <c r="K172" s="46" t="s">
        <v>2088</v>
      </c>
      <c r="L172" s="46" t="s">
        <v>2089</v>
      </c>
      <c r="M172" s="46" t="s">
        <v>2090</v>
      </c>
      <c r="N172" s="46" t="s">
        <v>2091</v>
      </c>
      <c r="O172" s="46" t="s">
        <v>2092</v>
      </c>
    </row>
    <row r="173" spans="2:15">
      <c r="B173" s="46" t="s">
        <v>159</v>
      </c>
      <c r="C173" s="46" t="s">
        <v>1043</v>
      </c>
      <c r="D173" s="46" t="s">
        <v>1043</v>
      </c>
      <c r="E173" s="46" t="s">
        <v>160</v>
      </c>
      <c r="F173" s="46" t="s">
        <v>1043</v>
      </c>
      <c r="G173" s="46" t="s">
        <v>1043</v>
      </c>
      <c r="H173" s="46" t="s">
        <v>2093</v>
      </c>
      <c r="I173" s="46" t="s">
        <v>2094</v>
      </c>
      <c r="J173" s="46" t="s">
        <v>2095</v>
      </c>
      <c r="K173" s="46" t="s">
        <v>2096</v>
      </c>
      <c r="L173" s="46" t="s">
        <v>2097</v>
      </c>
      <c r="M173" s="46" t="s">
        <v>2098</v>
      </c>
      <c r="N173" s="46" t="s">
        <v>2099</v>
      </c>
      <c r="O173" s="46" t="s">
        <v>2100</v>
      </c>
    </row>
    <row r="174" spans="2:15">
      <c r="B174" s="46" t="s">
        <v>159</v>
      </c>
      <c r="C174" s="46" t="s">
        <v>1043</v>
      </c>
      <c r="D174" s="46" t="s">
        <v>1043</v>
      </c>
      <c r="O174" s="46" t="s">
        <v>2101</v>
      </c>
    </row>
    <row r="175" spans="2:15">
      <c r="B175" s="46" t="s">
        <v>161</v>
      </c>
      <c r="C175" s="46" t="s">
        <v>1043</v>
      </c>
      <c r="D175" s="46" t="s">
        <v>1043</v>
      </c>
      <c r="E175" s="46" t="s">
        <v>150</v>
      </c>
      <c r="F175" s="46" t="s">
        <v>1043</v>
      </c>
      <c r="G175" s="46" t="s">
        <v>1043</v>
      </c>
      <c r="H175" s="46" t="s">
        <v>2102</v>
      </c>
      <c r="I175" s="46" t="s">
        <v>2103</v>
      </c>
      <c r="J175" s="46" t="s">
        <v>2104</v>
      </c>
      <c r="K175" s="46" t="s">
        <v>2105</v>
      </c>
      <c r="L175" s="46" t="s">
        <v>2106</v>
      </c>
      <c r="M175" s="46" t="s">
        <v>2107</v>
      </c>
      <c r="N175" s="46" t="s">
        <v>2108</v>
      </c>
      <c r="O175" s="46" t="s">
        <v>2109</v>
      </c>
    </row>
    <row r="176" spans="2:15">
      <c r="B176" s="46" t="s">
        <v>161</v>
      </c>
      <c r="C176" s="46" t="s">
        <v>1043</v>
      </c>
      <c r="D176" s="46" t="s">
        <v>1043</v>
      </c>
      <c r="E176" s="46" t="s">
        <v>162</v>
      </c>
      <c r="F176" s="46" t="s">
        <v>1043</v>
      </c>
      <c r="G176" s="46" t="s">
        <v>1043</v>
      </c>
      <c r="H176" s="46" t="s">
        <v>2110</v>
      </c>
      <c r="I176" s="46" t="s">
        <v>2111</v>
      </c>
      <c r="J176" s="46" t="s">
        <v>2112</v>
      </c>
      <c r="K176" s="46" t="s">
        <v>2113</v>
      </c>
      <c r="L176" s="46" t="s">
        <v>2114</v>
      </c>
      <c r="M176" s="46" t="s">
        <v>2115</v>
      </c>
      <c r="N176" s="46" t="s">
        <v>2116</v>
      </c>
      <c r="O176" s="46" t="s">
        <v>2117</v>
      </c>
    </row>
    <row r="177" spans="2:15">
      <c r="B177" s="46" t="s">
        <v>161</v>
      </c>
      <c r="C177" s="46" t="s">
        <v>1043</v>
      </c>
      <c r="D177" s="46" t="s">
        <v>1043</v>
      </c>
      <c r="O177" s="46" t="s">
        <v>2118</v>
      </c>
    </row>
    <row r="178" spans="2:15">
      <c r="B178" s="46" t="s">
        <v>163</v>
      </c>
      <c r="C178" s="46" t="s">
        <v>1043</v>
      </c>
      <c r="D178" s="46" t="s">
        <v>1043</v>
      </c>
      <c r="E178" s="46" t="s">
        <v>154</v>
      </c>
      <c r="F178" s="46" t="s">
        <v>1043</v>
      </c>
      <c r="G178" s="46" t="s">
        <v>1043</v>
      </c>
      <c r="H178" s="46" t="s">
        <v>2119</v>
      </c>
      <c r="I178" s="46" t="s">
        <v>2120</v>
      </c>
      <c r="J178" s="46" t="s">
        <v>2121</v>
      </c>
      <c r="K178" s="46" t="s">
        <v>2122</v>
      </c>
      <c r="L178" s="46" t="s">
        <v>2123</v>
      </c>
      <c r="M178" s="46" t="s">
        <v>2124</v>
      </c>
      <c r="N178" s="46" t="s">
        <v>2125</v>
      </c>
      <c r="O178" s="46" t="s">
        <v>2126</v>
      </c>
    </row>
    <row r="179" spans="2:15">
      <c r="B179" s="46" t="s">
        <v>163</v>
      </c>
      <c r="C179" s="46" t="s">
        <v>1043</v>
      </c>
      <c r="D179" s="46" t="s">
        <v>1043</v>
      </c>
      <c r="E179" s="46" t="s">
        <v>162</v>
      </c>
      <c r="F179" s="46" t="s">
        <v>1043</v>
      </c>
      <c r="G179" s="46" t="s">
        <v>1043</v>
      </c>
      <c r="H179" s="46" t="s">
        <v>2127</v>
      </c>
      <c r="I179" s="46" t="s">
        <v>2128</v>
      </c>
      <c r="J179" s="46" t="s">
        <v>2129</v>
      </c>
      <c r="K179" s="46" t="s">
        <v>2130</v>
      </c>
      <c r="L179" s="46" t="s">
        <v>2131</v>
      </c>
      <c r="M179" s="46" t="s">
        <v>2132</v>
      </c>
      <c r="N179" s="46" t="s">
        <v>2133</v>
      </c>
      <c r="O179" s="46" t="s">
        <v>2134</v>
      </c>
    </row>
    <row r="180" spans="2:15">
      <c r="B180" s="46" t="s">
        <v>163</v>
      </c>
      <c r="C180" s="46" t="s">
        <v>1043</v>
      </c>
      <c r="D180" s="46" t="s">
        <v>1043</v>
      </c>
      <c r="M180" s="46" t="s">
        <v>2135</v>
      </c>
      <c r="N180" s="46" t="s">
        <v>2136</v>
      </c>
      <c r="O180" s="46" t="s">
        <v>2137</v>
      </c>
    </row>
    <row r="181" spans="2:15">
      <c r="B181" s="46" t="s">
        <v>164</v>
      </c>
      <c r="C181" s="46" t="s">
        <v>1043</v>
      </c>
      <c r="D181" s="46" t="s">
        <v>1043</v>
      </c>
      <c r="E181" s="46" t="s">
        <v>158</v>
      </c>
      <c r="F181" s="46" t="s">
        <v>1043</v>
      </c>
      <c r="G181" s="46" t="s">
        <v>1043</v>
      </c>
      <c r="H181" s="46" t="s">
        <v>2138</v>
      </c>
      <c r="I181" s="46" t="s">
        <v>2139</v>
      </c>
      <c r="J181" s="46" t="s">
        <v>2140</v>
      </c>
      <c r="K181" s="46" t="s">
        <v>2141</v>
      </c>
      <c r="L181" s="46" t="s">
        <v>2142</v>
      </c>
      <c r="M181" s="46" t="s">
        <v>2143</v>
      </c>
      <c r="N181" s="46" t="s">
        <v>2144</v>
      </c>
      <c r="O181" s="46" t="s">
        <v>2145</v>
      </c>
    </row>
    <row r="182" spans="2:15">
      <c r="B182" s="46" t="s">
        <v>164</v>
      </c>
      <c r="C182" s="46" t="s">
        <v>1043</v>
      </c>
      <c r="D182" s="46" t="s">
        <v>1043</v>
      </c>
      <c r="E182" s="46" t="s">
        <v>162</v>
      </c>
      <c r="F182" s="46" t="s">
        <v>1043</v>
      </c>
      <c r="G182" s="46" t="s">
        <v>1043</v>
      </c>
      <c r="H182" s="46" t="s">
        <v>2146</v>
      </c>
      <c r="I182" s="46" t="s">
        <v>2147</v>
      </c>
      <c r="J182" s="46" t="s">
        <v>2148</v>
      </c>
      <c r="K182" s="46" t="s">
        <v>2149</v>
      </c>
      <c r="L182" s="46" t="s">
        <v>2150</v>
      </c>
      <c r="M182" s="46" t="s">
        <v>2151</v>
      </c>
      <c r="N182" s="46" t="s">
        <v>2152</v>
      </c>
      <c r="O182" s="46" t="s">
        <v>2153</v>
      </c>
    </row>
    <row r="183" spans="2:15">
      <c r="B183" s="46" t="s">
        <v>164</v>
      </c>
      <c r="C183" s="46" t="s">
        <v>1043</v>
      </c>
      <c r="D183" s="46" t="s">
        <v>1043</v>
      </c>
      <c r="O183" s="46" t="s">
        <v>2154</v>
      </c>
    </row>
    <row r="184" spans="2:15">
      <c r="B184" s="46" t="s">
        <v>165</v>
      </c>
      <c r="C184" s="46" t="s">
        <v>1043</v>
      </c>
      <c r="D184" s="46" t="s">
        <v>1043</v>
      </c>
      <c r="E184" s="46" t="s">
        <v>109</v>
      </c>
      <c r="F184" s="46" t="s">
        <v>1043</v>
      </c>
      <c r="G184" s="46" t="s">
        <v>1043</v>
      </c>
      <c r="H184" s="46" t="s">
        <v>2155</v>
      </c>
      <c r="I184" s="46" t="s">
        <v>2156</v>
      </c>
      <c r="J184" s="46" t="s">
        <v>2157</v>
      </c>
      <c r="K184" s="46" t="s">
        <v>2158</v>
      </c>
      <c r="L184" s="46" t="s">
        <v>2159</v>
      </c>
      <c r="M184" s="46" t="s">
        <v>2160</v>
      </c>
      <c r="N184" s="46" t="s">
        <v>2161</v>
      </c>
      <c r="O184" s="46" t="s">
        <v>2162</v>
      </c>
    </row>
    <row r="185" spans="2:15">
      <c r="B185" s="46" t="s">
        <v>165</v>
      </c>
      <c r="C185" s="46" t="s">
        <v>1043</v>
      </c>
      <c r="D185" s="46" t="s">
        <v>1043</v>
      </c>
      <c r="E185" s="46" t="s">
        <v>166</v>
      </c>
      <c r="F185" s="46" t="s">
        <v>1043</v>
      </c>
      <c r="G185" s="46" t="s">
        <v>1043</v>
      </c>
      <c r="H185" s="46" t="s">
        <v>2163</v>
      </c>
      <c r="I185" s="46" t="s">
        <v>2164</v>
      </c>
      <c r="J185" s="46" t="s">
        <v>2165</v>
      </c>
      <c r="K185" s="46" t="s">
        <v>2166</v>
      </c>
      <c r="L185" s="46" t="s">
        <v>2167</v>
      </c>
      <c r="M185" s="46" t="s">
        <v>2168</v>
      </c>
      <c r="N185" s="46" t="s">
        <v>2169</v>
      </c>
      <c r="O185" s="46" t="s">
        <v>2170</v>
      </c>
    </row>
    <row r="186" spans="2:15">
      <c r="B186" s="46" t="s">
        <v>165</v>
      </c>
      <c r="C186" s="46" t="s">
        <v>1043</v>
      </c>
      <c r="D186" s="46" t="s">
        <v>1043</v>
      </c>
      <c r="O186" s="46" t="s">
        <v>2171</v>
      </c>
    </row>
    <row r="187" spans="2:15">
      <c r="B187" s="46" t="s">
        <v>167</v>
      </c>
      <c r="C187" s="46" t="s">
        <v>1043</v>
      </c>
      <c r="D187" s="46" t="s">
        <v>1043</v>
      </c>
      <c r="E187" s="46" t="s">
        <v>168</v>
      </c>
      <c r="F187" s="46" t="s">
        <v>1043</v>
      </c>
      <c r="G187" s="46" t="s">
        <v>1043</v>
      </c>
      <c r="H187" s="46" t="s">
        <v>2172</v>
      </c>
      <c r="I187" s="46" t="s">
        <v>2173</v>
      </c>
      <c r="J187" s="46" t="s">
        <v>2174</v>
      </c>
      <c r="K187" s="46" t="s">
        <v>2175</v>
      </c>
      <c r="L187" s="46" t="s">
        <v>2176</v>
      </c>
      <c r="M187" s="46" t="s">
        <v>2177</v>
      </c>
      <c r="N187" s="46" t="s">
        <v>2178</v>
      </c>
      <c r="O187" s="46" t="s">
        <v>2179</v>
      </c>
    </row>
    <row r="188" spans="2:15">
      <c r="B188" s="46" t="s">
        <v>167</v>
      </c>
      <c r="C188" s="46" t="s">
        <v>1043</v>
      </c>
      <c r="D188" s="46" t="s">
        <v>1043</v>
      </c>
      <c r="E188" s="46" t="s">
        <v>169</v>
      </c>
      <c r="F188" s="46" t="s">
        <v>1043</v>
      </c>
      <c r="G188" s="46" t="s">
        <v>1043</v>
      </c>
      <c r="H188" s="46" t="s">
        <v>2180</v>
      </c>
      <c r="I188" s="46" t="s">
        <v>2181</v>
      </c>
      <c r="J188" s="46" t="s">
        <v>2182</v>
      </c>
      <c r="K188" s="46" t="s">
        <v>2183</v>
      </c>
      <c r="L188" s="46" t="s">
        <v>2184</v>
      </c>
      <c r="M188" s="46" t="s">
        <v>2185</v>
      </c>
      <c r="N188" s="46" t="s">
        <v>2186</v>
      </c>
      <c r="O188" s="46" t="s">
        <v>2187</v>
      </c>
    </row>
    <row r="189" spans="2:15">
      <c r="B189" s="46" t="s">
        <v>167</v>
      </c>
      <c r="C189" s="46" t="s">
        <v>1043</v>
      </c>
      <c r="D189" s="46" t="s">
        <v>1043</v>
      </c>
      <c r="E189" s="46" t="s">
        <v>170</v>
      </c>
      <c r="F189" s="46" t="s">
        <v>1043</v>
      </c>
      <c r="G189" s="46" t="s">
        <v>1043</v>
      </c>
      <c r="H189" s="46" t="s">
        <v>1095</v>
      </c>
      <c r="I189" s="46" t="s">
        <v>2188</v>
      </c>
      <c r="J189" s="46" t="s">
        <v>2189</v>
      </c>
      <c r="K189" s="46" t="s">
        <v>2190</v>
      </c>
      <c r="L189" s="46" t="s">
        <v>2191</v>
      </c>
      <c r="M189" s="46" t="s">
        <v>2192</v>
      </c>
      <c r="N189" s="46" t="s">
        <v>2193</v>
      </c>
      <c r="O189" s="46" t="s">
        <v>2194</v>
      </c>
    </row>
    <row r="190" spans="2:15">
      <c r="B190" s="46" t="s">
        <v>167</v>
      </c>
      <c r="C190" s="46" t="s">
        <v>1043</v>
      </c>
      <c r="D190" s="46" t="s">
        <v>1043</v>
      </c>
      <c r="O190" s="46" t="s">
        <v>2195</v>
      </c>
    </row>
    <row r="191" spans="2:15">
      <c r="B191" s="46" t="s">
        <v>171</v>
      </c>
      <c r="C191" s="46" t="s">
        <v>1043</v>
      </c>
      <c r="D191" s="46" t="s">
        <v>1043</v>
      </c>
      <c r="E191" s="46" t="s">
        <v>172</v>
      </c>
      <c r="F191" s="46" t="s">
        <v>1043</v>
      </c>
      <c r="G191" s="46" t="s">
        <v>1043</v>
      </c>
      <c r="H191" s="46" t="s">
        <v>2180</v>
      </c>
      <c r="I191" s="46" t="s">
        <v>2196</v>
      </c>
      <c r="J191" s="46" t="s">
        <v>2197</v>
      </c>
      <c r="K191" s="46" t="s">
        <v>2198</v>
      </c>
      <c r="L191" s="46" t="s">
        <v>2199</v>
      </c>
      <c r="M191" s="46" t="s">
        <v>2200</v>
      </c>
      <c r="N191" s="46" t="s">
        <v>2201</v>
      </c>
      <c r="O191" s="46" t="s">
        <v>2202</v>
      </c>
    </row>
    <row r="192" spans="2:15">
      <c r="B192" s="46" t="s">
        <v>171</v>
      </c>
      <c r="C192" s="46" t="s">
        <v>1043</v>
      </c>
      <c r="D192" s="46" t="s">
        <v>1043</v>
      </c>
      <c r="E192" s="46" t="s">
        <v>173</v>
      </c>
      <c r="F192" s="46" t="s">
        <v>1043</v>
      </c>
      <c r="G192" s="46" t="s">
        <v>1043</v>
      </c>
      <c r="H192" s="46" t="s">
        <v>2203</v>
      </c>
      <c r="I192" s="46" t="s">
        <v>2204</v>
      </c>
      <c r="J192" s="46" t="s">
        <v>2205</v>
      </c>
      <c r="K192" s="46" t="s">
        <v>2206</v>
      </c>
      <c r="L192" s="46" t="s">
        <v>2207</v>
      </c>
      <c r="M192" s="46" t="s">
        <v>2208</v>
      </c>
      <c r="N192" s="46" t="s">
        <v>2209</v>
      </c>
      <c r="O192" s="46" t="s">
        <v>2210</v>
      </c>
    </row>
    <row r="193" spans="2:15">
      <c r="B193" s="46" t="s">
        <v>171</v>
      </c>
      <c r="C193" s="46" t="s">
        <v>1043</v>
      </c>
      <c r="D193" s="46" t="s">
        <v>1043</v>
      </c>
      <c r="E193" s="46" t="s">
        <v>174</v>
      </c>
      <c r="F193" s="46" t="s">
        <v>1043</v>
      </c>
      <c r="G193" s="46" t="s">
        <v>1043</v>
      </c>
      <c r="H193" s="46" t="s">
        <v>2203</v>
      </c>
      <c r="I193" s="46" t="s">
        <v>2211</v>
      </c>
      <c r="J193" s="46" t="s">
        <v>2212</v>
      </c>
      <c r="K193" s="46" t="s">
        <v>2213</v>
      </c>
      <c r="L193" s="46" t="s">
        <v>2214</v>
      </c>
      <c r="M193" s="46" t="s">
        <v>2215</v>
      </c>
      <c r="N193" s="46" t="s">
        <v>2216</v>
      </c>
      <c r="O193" s="46" t="s">
        <v>2217</v>
      </c>
    </row>
    <row r="194" spans="2:15">
      <c r="B194" s="46" t="s">
        <v>171</v>
      </c>
      <c r="C194" s="46" t="s">
        <v>1043</v>
      </c>
      <c r="D194" s="46" t="s">
        <v>1043</v>
      </c>
      <c r="E194" s="46" t="s">
        <v>170</v>
      </c>
      <c r="F194" s="46" t="s">
        <v>1043</v>
      </c>
      <c r="G194" s="46" t="s">
        <v>1043</v>
      </c>
      <c r="H194" s="46" t="s">
        <v>2218</v>
      </c>
      <c r="I194" s="46" t="s">
        <v>2219</v>
      </c>
      <c r="J194" s="46" t="s">
        <v>2220</v>
      </c>
      <c r="K194" s="46" t="s">
        <v>2221</v>
      </c>
      <c r="L194" s="46" t="s">
        <v>2222</v>
      </c>
      <c r="M194" s="46" t="s">
        <v>2223</v>
      </c>
      <c r="N194" s="46" t="s">
        <v>2224</v>
      </c>
      <c r="O194" s="46" t="s">
        <v>2225</v>
      </c>
    </row>
    <row r="195" spans="2:15">
      <c r="B195" s="46" t="s">
        <v>171</v>
      </c>
      <c r="C195" s="46" t="s">
        <v>1043</v>
      </c>
      <c r="D195" s="46" t="s">
        <v>1043</v>
      </c>
      <c r="O195" s="46" t="s">
        <v>2226</v>
      </c>
    </row>
    <row r="196" spans="2:15">
      <c r="B196" s="46" t="s">
        <v>175</v>
      </c>
      <c r="C196" s="46" t="s">
        <v>1043</v>
      </c>
      <c r="D196" s="46" t="s">
        <v>1043</v>
      </c>
      <c r="H196" s="46" t="s">
        <v>1095</v>
      </c>
      <c r="I196" s="46" t="s">
        <v>2227</v>
      </c>
      <c r="J196" s="46" t="s">
        <v>2228</v>
      </c>
      <c r="K196" s="46" t="s">
        <v>2229</v>
      </c>
      <c r="L196" s="46" t="s">
        <v>2230</v>
      </c>
      <c r="M196" s="46" t="s">
        <v>2231</v>
      </c>
      <c r="N196" s="46" t="s">
        <v>2232</v>
      </c>
      <c r="O196" s="46" t="s">
        <v>2233</v>
      </c>
    </row>
    <row r="197" spans="2:15">
      <c r="B197" s="46" t="s">
        <v>176</v>
      </c>
      <c r="C197" s="46" t="s">
        <v>1043</v>
      </c>
      <c r="D197" s="46" t="s">
        <v>1043</v>
      </c>
      <c r="H197" s="46" t="s">
        <v>1095</v>
      </c>
      <c r="I197" s="46" t="s">
        <v>2234</v>
      </c>
      <c r="J197" s="46" t="s">
        <v>2235</v>
      </c>
      <c r="K197" s="46" t="s">
        <v>2236</v>
      </c>
      <c r="L197" s="46" t="s">
        <v>2237</v>
      </c>
      <c r="M197" s="46" t="s">
        <v>2238</v>
      </c>
      <c r="N197" s="46" t="s">
        <v>2239</v>
      </c>
      <c r="O197" s="46" t="s">
        <v>2240</v>
      </c>
    </row>
    <row r="199" spans="2:15">
      <c r="B199" s="46" t="s">
        <v>177</v>
      </c>
    </row>
    <row r="200" spans="2:15">
      <c r="B200" s="46" t="s">
        <v>178</v>
      </c>
      <c r="C200" s="46" t="s">
        <v>1043</v>
      </c>
      <c r="D200" s="46" t="s">
        <v>1043</v>
      </c>
      <c r="E200" s="46" t="s">
        <v>46</v>
      </c>
      <c r="F200" s="46" t="s">
        <v>1043</v>
      </c>
      <c r="G200" s="46" t="s">
        <v>1043</v>
      </c>
      <c r="H200" s="46" t="s">
        <v>1043</v>
      </c>
    </row>
    <row r="201" spans="2:15">
      <c r="B201" s="46" t="s">
        <v>178</v>
      </c>
      <c r="C201" s="46" t="s">
        <v>1043</v>
      </c>
      <c r="D201" s="46" t="s">
        <v>1043</v>
      </c>
      <c r="E201" s="46" t="s">
        <v>28</v>
      </c>
      <c r="F201" s="46" t="s">
        <v>1043</v>
      </c>
      <c r="G201" s="46" t="s">
        <v>1043</v>
      </c>
      <c r="H201" s="46" t="s">
        <v>1043</v>
      </c>
    </row>
    <row r="202" spans="2:15">
      <c r="B202" s="46" t="s">
        <v>178</v>
      </c>
      <c r="C202" s="46" t="s">
        <v>1043</v>
      </c>
      <c r="D202" s="46" t="s">
        <v>1043</v>
      </c>
      <c r="E202" s="46" t="s">
        <v>37</v>
      </c>
      <c r="F202" s="46" t="s">
        <v>1043</v>
      </c>
      <c r="G202" s="46" t="s">
        <v>1043</v>
      </c>
      <c r="H202" s="46" t="s">
        <v>1043</v>
      </c>
    </row>
    <row r="203" spans="2:15">
      <c r="B203" s="46" t="s">
        <v>178</v>
      </c>
      <c r="C203" s="46" t="s">
        <v>1043</v>
      </c>
      <c r="D203" s="46" t="s">
        <v>1043</v>
      </c>
      <c r="E203" s="46" t="s">
        <v>179</v>
      </c>
      <c r="F203" s="46" t="s">
        <v>1043</v>
      </c>
      <c r="G203" s="46" t="s">
        <v>1043</v>
      </c>
      <c r="H203" s="46" t="s">
        <v>1043</v>
      </c>
    </row>
    <row r="204" spans="2:15">
      <c r="B204" s="46" t="s">
        <v>178</v>
      </c>
      <c r="C204" s="46" t="s">
        <v>1043</v>
      </c>
      <c r="D204" s="46" t="s">
        <v>1043</v>
      </c>
    </row>
    <row r="205" spans="2:15">
      <c r="B205" s="46" t="s">
        <v>180</v>
      </c>
      <c r="C205" s="46" t="s">
        <v>1043</v>
      </c>
      <c r="D205" s="46" t="s">
        <v>1043</v>
      </c>
      <c r="E205" s="46" t="s">
        <v>46</v>
      </c>
      <c r="F205" s="46" t="s">
        <v>1043</v>
      </c>
      <c r="G205" s="46" t="s">
        <v>1043</v>
      </c>
      <c r="H205" s="46" t="s">
        <v>1043</v>
      </c>
    </row>
    <row r="206" spans="2:15">
      <c r="B206" s="46" t="s">
        <v>180</v>
      </c>
      <c r="C206" s="46" t="s">
        <v>1043</v>
      </c>
      <c r="D206" s="46" t="s">
        <v>1043</v>
      </c>
      <c r="E206" s="46" t="s">
        <v>28</v>
      </c>
      <c r="F206" s="46" t="s">
        <v>1043</v>
      </c>
      <c r="G206" s="46" t="s">
        <v>1043</v>
      </c>
      <c r="H206" s="46" t="s">
        <v>1043</v>
      </c>
    </row>
    <row r="207" spans="2:15">
      <c r="B207" s="46" t="s">
        <v>180</v>
      </c>
      <c r="C207" s="46" t="s">
        <v>1043</v>
      </c>
      <c r="D207" s="46" t="s">
        <v>1043</v>
      </c>
      <c r="E207" s="46" t="s">
        <v>37</v>
      </c>
      <c r="F207" s="46" t="s">
        <v>1043</v>
      </c>
      <c r="G207" s="46" t="s">
        <v>1043</v>
      </c>
      <c r="H207" s="46" t="s">
        <v>1043</v>
      </c>
    </row>
    <row r="208" spans="2:15">
      <c r="B208" s="46" t="s">
        <v>180</v>
      </c>
      <c r="C208" s="46" t="s">
        <v>1043</v>
      </c>
      <c r="D208" s="46" t="s">
        <v>1043</v>
      </c>
      <c r="E208" s="46" t="s">
        <v>54</v>
      </c>
      <c r="F208" s="46" t="s">
        <v>1043</v>
      </c>
      <c r="G208" s="46" t="s">
        <v>1043</v>
      </c>
      <c r="H208" s="46" t="s">
        <v>1043</v>
      </c>
    </row>
    <row r="209" spans="2:8">
      <c r="B209" s="46" t="s">
        <v>180</v>
      </c>
      <c r="C209" s="46" t="s">
        <v>1043</v>
      </c>
      <c r="D209" s="46" t="s">
        <v>1043</v>
      </c>
      <c r="E209" s="46" t="s">
        <v>181</v>
      </c>
      <c r="F209" s="46" t="s">
        <v>1043</v>
      </c>
      <c r="G209" s="46" t="s">
        <v>1043</v>
      </c>
      <c r="H209" s="46" t="s">
        <v>1043</v>
      </c>
    </row>
    <row r="210" spans="2:8">
      <c r="B210" s="46" t="s">
        <v>180</v>
      </c>
      <c r="C210" s="46" t="s">
        <v>1043</v>
      </c>
      <c r="D210" s="46" t="s">
        <v>1043</v>
      </c>
    </row>
    <row r="211" spans="2:8">
      <c r="B211" s="46" t="s">
        <v>182</v>
      </c>
      <c r="C211" s="46" t="s">
        <v>1043</v>
      </c>
      <c r="D211" s="46" t="s">
        <v>1043</v>
      </c>
      <c r="E211" s="46" t="s">
        <v>54</v>
      </c>
      <c r="F211" s="46" t="s">
        <v>1043</v>
      </c>
      <c r="G211" s="46" t="s">
        <v>1043</v>
      </c>
      <c r="H211" s="46" t="s">
        <v>1043</v>
      </c>
    </row>
    <row r="212" spans="2:8">
      <c r="B212" s="46" t="s">
        <v>182</v>
      </c>
      <c r="C212" s="46" t="s">
        <v>1043</v>
      </c>
      <c r="D212" s="46" t="s">
        <v>1043</v>
      </c>
      <c r="E212" s="46" t="s">
        <v>63</v>
      </c>
      <c r="F212" s="46" t="s">
        <v>1043</v>
      </c>
      <c r="G212" s="46" t="s">
        <v>1043</v>
      </c>
      <c r="H212" s="46" t="s">
        <v>1043</v>
      </c>
    </row>
    <row r="213" spans="2:8">
      <c r="B213" s="46" t="s">
        <v>182</v>
      </c>
      <c r="C213" s="46" t="s">
        <v>1043</v>
      </c>
      <c r="D213" s="46" t="s">
        <v>1043</v>
      </c>
      <c r="E213" s="46" t="s">
        <v>61</v>
      </c>
      <c r="F213" s="46" t="s">
        <v>1043</v>
      </c>
      <c r="G213" s="46" t="s">
        <v>1043</v>
      </c>
      <c r="H213" s="46" t="s">
        <v>1043</v>
      </c>
    </row>
    <row r="214" spans="2:8">
      <c r="B214" s="46" t="s">
        <v>182</v>
      </c>
      <c r="C214" s="46" t="s">
        <v>1043</v>
      </c>
      <c r="D214" s="46" t="s">
        <v>1043</v>
      </c>
      <c r="E214" s="46" t="s">
        <v>179</v>
      </c>
      <c r="F214" s="46" t="s">
        <v>1043</v>
      </c>
      <c r="G214" s="46" t="s">
        <v>1043</v>
      </c>
      <c r="H214" s="46" t="s">
        <v>1043</v>
      </c>
    </row>
    <row r="215" spans="2:8">
      <c r="B215" s="46" t="s">
        <v>182</v>
      </c>
      <c r="C215" s="46" t="s">
        <v>1043</v>
      </c>
      <c r="D215" s="46" t="s">
        <v>1043</v>
      </c>
    </row>
    <row r="216" spans="2:8">
      <c r="B216" s="46" t="s">
        <v>183</v>
      </c>
      <c r="C216" s="46" t="s">
        <v>1043</v>
      </c>
      <c r="D216" s="46" t="s">
        <v>1043</v>
      </c>
      <c r="E216" s="46" t="s">
        <v>46</v>
      </c>
      <c r="F216" s="46" t="s">
        <v>1043</v>
      </c>
      <c r="G216" s="46" t="s">
        <v>1043</v>
      </c>
      <c r="H216" s="46" t="s">
        <v>1043</v>
      </c>
    </row>
    <row r="217" spans="2:8">
      <c r="B217" s="46" t="s">
        <v>183</v>
      </c>
      <c r="C217" s="46" t="s">
        <v>1043</v>
      </c>
      <c r="D217" s="46" t="s">
        <v>1043</v>
      </c>
      <c r="E217" s="46" t="s">
        <v>28</v>
      </c>
      <c r="F217" s="46" t="s">
        <v>1043</v>
      </c>
      <c r="G217" s="46" t="s">
        <v>1043</v>
      </c>
      <c r="H217" s="46" t="s">
        <v>1043</v>
      </c>
    </row>
    <row r="218" spans="2:8">
      <c r="B218" s="46" t="s">
        <v>183</v>
      </c>
      <c r="C218" s="46" t="s">
        <v>1043</v>
      </c>
      <c r="D218" s="46" t="s">
        <v>1043</v>
      </c>
      <c r="E218" s="46" t="s">
        <v>37</v>
      </c>
      <c r="F218" s="46" t="s">
        <v>1043</v>
      </c>
      <c r="G218" s="46" t="s">
        <v>1043</v>
      </c>
      <c r="H218" s="46" t="s">
        <v>1043</v>
      </c>
    </row>
    <row r="219" spans="2:8">
      <c r="B219" s="46" t="s">
        <v>183</v>
      </c>
      <c r="C219" s="46" t="s">
        <v>1043</v>
      </c>
      <c r="D219" s="46" t="s">
        <v>1043</v>
      </c>
      <c r="E219" s="46" t="s">
        <v>181</v>
      </c>
      <c r="F219" s="46" t="s">
        <v>1043</v>
      </c>
      <c r="G219" s="46" t="s">
        <v>1043</v>
      </c>
      <c r="H219" s="46" t="s">
        <v>1043</v>
      </c>
    </row>
    <row r="220" spans="2:8">
      <c r="B220" s="46" t="s">
        <v>183</v>
      </c>
      <c r="C220" s="46" t="s">
        <v>1043</v>
      </c>
      <c r="D220" s="46" t="s">
        <v>1043</v>
      </c>
    </row>
    <row r="221" spans="2:8">
      <c r="B221" s="46" t="s">
        <v>184</v>
      </c>
      <c r="C221" s="46" t="s">
        <v>1043</v>
      </c>
      <c r="D221" s="46" t="s">
        <v>1043</v>
      </c>
      <c r="E221" s="46" t="s">
        <v>48</v>
      </c>
      <c r="F221" s="46" t="s">
        <v>1043</v>
      </c>
      <c r="G221" s="46" t="s">
        <v>1043</v>
      </c>
      <c r="H221" s="46" t="s">
        <v>1043</v>
      </c>
    </row>
    <row r="222" spans="2:8">
      <c r="B222" s="46" t="s">
        <v>184</v>
      </c>
      <c r="C222" s="46" t="s">
        <v>1043</v>
      </c>
      <c r="D222" s="46" t="s">
        <v>1043</v>
      </c>
      <c r="E222" s="46" t="s">
        <v>25</v>
      </c>
      <c r="F222" s="46" t="s">
        <v>1043</v>
      </c>
      <c r="G222" s="46" t="s">
        <v>1043</v>
      </c>
      <c r="H222" s="46" t="s">
        <v>1043</v>
      </c>
    </row>
    <row r="223" spans="2:8">
      <c r="B223" s="46" t="s">
        <v>184</v>
      </c>
      <c r="C223" s="46" t="s">
        <v>1043</v>
      </c>
      <c r="D223" s="46" t="s">
        <v>1043</v>
      </c>
      <c r="E223" s="46" t="s">
        <v>35</v>
      </c>
      <c r="F223" s="46" t="s">
        <v>1043</v>
      </c>
      <c r="G223" s="46" t="s">
        <v>1043</v>
      </c>
      <c r="H223" s="46" t="s">
        <v>1043</v>
      </c>
    </row>
    <row r="224" spans="2:8">
      <c r="B224" s="46" t="s">
        <v>184</v>
      </c>
      <c r="C224" s="46" t="s">
        <v>1043</v>
      </c>
      <c r="D224" s="46" t="s">
        <v>1043</v>
      </c>
      <c r="E224" s="46" t="s">
        <v>179</v>
      </c>
      <c r="F224" s="46" t="s">
        <v>1043</v>
      </c>
      <c r="G224" s="46" t="s">
        <v>1043</v>
      </c>
      <c r="H224" s="46" t="s">
        <v>1043</v>
      </c>
    </row>
    <row r="225" spans="2:8">
      <c r="B225" s="46" t="s">
        <v>184</v>
      </c>
      <c r="C225" s="46" t="s">
        <v>1043</v>
      </c>
      <c r="D225" s="46" t="s">
        <v>1043</v>
      </c>
    </row>
    <row r="226" spans="2:8">
      <c r="B226" s="46" t="s">
        <v>185</v>
      </c>
      <c r="C226" s="46" t="s">
        <v>1043</v>
      </c>
      <c r="D226" s="46" t="s">
        <v>1043</v>
      </c>
      <c r="E226" s="46" t="s">
        <v>48</v>
      </c>
      <c r="F226" s="46" t="s">
        <v>1043</v>
      </c>
      <c r="G226" s="46" t="s">
        <v>1043</v>
      </c>
      <c r="H226" s="46" t="s">
        <v>1043</v>
      </c>
    </row>
    <row r="227" spans="2:8">
      <c r="B227" s="46" t="s">
        <v>185</v>
      </c>
      <c r="C227" s="46" t="s">
        <v>1043</v>
      </c>
      <c r="D227" s="46" t="s">
        <v>1043</v>
      </c>
      <c r="E227" s="46" t="s">
        <v>25</v>
      </c>
      <c r="F227" s="46" t="s">
        <v>1043</v>
      </c>
      <c r="G227" s="46" t="s">
        <v>1043</v>
      </c>
      <c r="H227" s="46" t="s">
        <v>1043</v>
      </c>
    </row>
    <row r="228" spans="2:8">
      <c r="B228" s="46" t="s">
        <v>185</v>
      </c>
      <c r="C228" s="46" t="s">
        <v>1043</v>
      </c>
      <c r="D228" s="46" t="s">
        <v>1043</v>
      </c>
      <c r="E228" s="46" t="s">
        <v>35</v>
      </c>
      <c r="F228" s="46" t="s">
        <v>1043</v>
      </c>
      <c r="G228" s="46" t="s">
        <v>1043</v>
      </c>
      <c r="H228" s="46" t="s">
        <v>1043</v>
      </c>
    </row>
    <row r="229" spans="2:8">
      <c r="B229" s="46" t="s">
        <v>185</v>
      </c>
      <c r="C229" s="46" t="s">
        <v>1043</v>
      </c>
      <c r="D229" s="46" t="s">
        <v>1043</v>
      </c>
      <c r="E229" s="46" t="s">
        <v>57</v>
      </c>
      <c r="F229" s="46" t="s">
        <v>1043</v>
      </c>
      <c r="G229" s="46" t="s">
        <v>1043</v>
      </c>
      <c r="H229" s="46" t="s">
        <v>1043</v>
      </c>
    </row>
    <row r="230" spans="2:8">
      <c r="B230" s="46" t="s">
        <v>185</v>
      </c>
      <c r="C230" s="46" t="s">
        <v>1043</v>
      </c>
      <c r="D230" s="46" t="s">
        <v>1043</v>
      </c>
      <c r="E230" s="46" t="s">
        <v>181</v>
      </c>
      <c r="F230" s="46" t="s">
        <v>1043</v>
      </c>
      <c r="G230" s="46" t="s">
        <v>1043</v>
      </c>
      <c r="H230" s="46" t="s">
        <v>1043</v>
      </c>
    </row>
    <row r="231" spans="2:8">
      <c r="B231" s="46" t="s">
        <v>185</v>
      </c>
      <c r="C231" s="46" t="s">
        <v>1043</v>
      </c>
      <c r="D231" s="46" t="s">
        <v>1043</v>
      </c>
    </row>
    <row r="232" spans="2:8">
      <c r="B232" s="46" t="s">
        <v>186</v>
      </c>
      <c r="C232" s="46" t="s">
        <v>1043</v>
      </c>
      <c r="D232" s="46" t="s">
        <v>1043</v>
      </c>
      <c r="E232" s="46" t="s">
        <v>48</v>
      </c>
      <c r="F232" s="46" t="s">
        <v>1043</v>
      </c>
      <c r="G232" s="46" t="s">
        <v>1043</v>
      </c>
      <c r="H232" s="46" t="s">
        <v>1043</v>
      </c>
    </row>
    <row r="233" spans="2:8">
      <c r="B233" s="46" t="s">
        <v>186</v>
      </c>
      <c r="C233" s="46" t="s">
        <v>1043</v>
      </c>
      <c r="D233" s="46" t="s">
        <v>1043</v>
      </c>
      <c r="E233" s="46" t="s">
        <v>25</v>
      </c>
      <c r="F233" s="46" t="s">
        <v>1043</v>
      </c>
      <c r="G233" s="46" t="s">
        <v>1043</v>
      </c>
      <c r="H233" s="46" t="s">
        <v>1043</v>
      </c>
    </row>
    <row r="234" spans="2:8">
      <c r="B234" s="46" t="s">
        <v>186</v>
      </c>
      <c r="C234" s="46" t="s">
        <v>1043</v>
      </c>
      <c r="D234" s="46" t="s">
        <v>1043</v>
      </c>
      <c r="E234" s="46" t="s">
        <v>35</v>
      </c>
      <c r="F234" s="46" t="s">
        <v>1043</v>
      </c>
      <c r="G234" s="46" t="s">
        <v>1043</v>
      </c>
      <c r="H234" s="46" t="s">
        <v>1043</v>
      </c>
    </row>
    <row r="235" spans="2:8">
      <c r="B235" s="46" t="s">
        <v>186</v>
      </c>
      <c r="C235" s="46" t="s">
        <v>1043</v>
      </c>
      <c r="D235" s="46" t="s">
        <v>1043</v>
      </c>
      <c r="E235" s="46" t="s">
        <v>181</v>
      </c>
      <c r="F235" s="46" t="s">
        <v>1043</v>
      </c>
      <c r="G235" s="46" t="s">
        <v>1043</v>
      </c>
      <c r="H235" s="46" t="s">
        <v>1043</v>
      </c>
    </row>
    <row r="236" spans="2:8">
      <c r="B236" s="46" t="s">
        <v>186</v>
      </c>
      <c r="C236" s="46" t="s">
        <v>1043</v>
      </c>
      <c r="D236" s="46" t="s">
        <v>1043</v>
      </c>
    </row>
    <row r="237" spans="2:8">
      <c r="B237" s="46" t="s">
        <v>187</v>
      </c>
      <c r="C237" s="46" t="s">
        <v>1043</v>
      </c>
      <c r="D237" s="46" t="s">
        <v>1043</v>
      </c>
      <c r="E237" s="46" t="s">
        <v>50</v>
      </c>
      <c r="F237" s="46" t="s">
        <v>1043</v>
      </c>
      <c r="G237" s="46" t="s">
        <v>1043</v>
      </c>
      <c r="H237" s="46" t="s">
        <v>1043</v>
      </c>
    </row>
    <row r="238" spans="2:8">
      <c r="B238" s="46" t="s">
        <v>187</v>
      </c>
      <c r="C238" s="46" t="s">
        <v>1043</v>
      </c>
      <c r="D238" s="46" t="s">
        <v>1043</v>
      </c>
      <c r="E238" s="46" t="s">
        <v>30</v>
      </c>
      <c r="F238" s="46" t="s">
        <v>1043</v>
      </c>
      <c r="G238" s="46" t="s">
        <v>1043</v>
      </c>
      <c r="H238" s="46" t="s">
        <v>1043</v>
      </c>
    </row>
    <row r="239" spans="2:8">
      <c r="B239" s="46" t="s">
        <v>187</v>
      </c>
      <c r="C239" s="46" t="s">
        <v>1043</v>
      </c>
      <c r="D239" s="46" t="s">
        <v>1043</v>
      </c>
      <c r="E239" s="46" t="s">
        <v>39</v>
      </c>
      <c r="F239" s="46" t="s">
        <v>1043</v>
      </c>
      <c r="G239" s="46" t="s">
        <v>1043</v>
      </c>
      <c r="H239" s="46" t="s">
        <v>1043</v>
      </c>
    </row>
    <row r="240" spans="2:8">
      <c r="B240" s="46" t="s">
        <v>187</v>
      </c>
      <c r="C240" s="46" t="s">
        <v>1043</v>
      </c>
      <c r="D240" s="46" t="s">
        <v>1043</v>
      </c>
      <c r="E240" s="46" t="s">
        <v>179</v>
      </c>
      <c r="F240" s="46" t="s">
        <v>1043</v>
      </c>
      <c r="G240" s="46" t="s">
        <v>1043</v>
      </c>
      <c r="H240" s="46" t="s">
        <v>1043</v>
      </c>
    </row>
    <row r="241" spans="2:8">
      <c r="B241" s="46" t="s">
        <v>187</v>
      </c>
      <c r="C241" s="46" t="s">
        <v>1043</v>
      </c>
      <c r="D241" s="46" t="s">
        <v>1043</v>
      </c>
    </row>
    <row r="242" spans="2:8">
      <c r="B242" s="46" t="s">
        <v>188</v>
      </c>
      <c r="C242" s="46" t="s">
        <v>1043</v>
      </c>
      <c r="D242" s="46" t="s">
        <v>1043</v>
      </c>
      <c r="E242" s="46" t="s">
        <v>50</v>
      </c>
      <c r="F242" s="46" t="s">
        <v>1043</v>
      </c>
      <c r="G242" s="46" t="s">
        <v>1043</v>
      </c>
      <c r="H242" s="46" t="s">
        <v>1043</v>
      </c>
    </row>
    <row r="243" spans="2:8">
      <c r="B243" s="46" t="s">
        <v>188</v>
      </c>
      <c r="C243" s="46" t="s">
        <v>1043</v>
      </c>
      <c r="D243" s="46" t="s">
        <v>1043</v>
      </c>
      <c r="E243" s="46" t="s">
        <v>30</v>
      </c>
      <c r="F243" s="46" t="s">
        <v>1043</v>
      </c>
      <c r="G243" s="46" t="s">
        <v>1043</v>
      </c>
      <c r="H243" s="46" t="s">
        <v>1043</v>
      </c>
    </row>
    <row r="244" spans="2:8">
      <c r="B244" s="46" t="s">
        <v>188</v>
      </c>
      <c r="C244" s="46" t="s">
        <v>1043</v>
      </c>
      <c r="D244" s="46" t="s">
        <v>1043</v>
      </c>
      <c r="E244" s="46" t="s">
        <v>39</v>
      </c>
      <c r="F244" s="46" t="s">
        <v>1043</v>
      </c>
      <c r="G244" s="46" t="s">
        <v>1043</v>
      </c>
      <c r="H244" s="46" t="s">
        <v>1043</v>
      </c>
    </row>
    <row r="245" spans="2:8">
      <c r="B245" s="46" t="s">
        <v>188</v>
      </c>
      <c r="C245" s="46" t="s">
        <v>1043</v>
      </c>
      <c r="D245" s="46" t="s">
        <v>1043</v>
      </c>
      <c r="E245" s="46" t="s">
        <v>59</v>
      </c>
      <c r="F245" s="46" t="s">
        <v>1043</v>
      </c>
      <c r="G245" s="46" t="s">
        <v>1043</v>
      </c>
      <c r="H245" s="46" t="s">
        <v>1043</v>
      </c>
    </row>
    <row r="246" spans="2:8">
      <c r="B246" s="46" t="s">
        <v>188</v>
      </c>
      <c r="C246" s="46" t="s">
        <v>1043</v>
      </c>
      <c r="D246" s="46" t="s">
        <v>1043</v>
      </c>
      <c r="E246" s="46" t="s">
        <v>181</v>
      </c>
      <c r="F246" s="46" t="s">
        <v>1043</v>
      </c>
      <c r="G246" s="46" t="s">
        <v>1043</v>
      </c>
      <c r="H246" s="46" t="s">
        <v>1043</v>
      </c>
    </row>
    <row r="247" spans="2:8">
      <c r="B247" s="46" t="s">
        <v>188</v>
      </c>
      <c r="C247" s="46" t="s">
        <v>1043</v>
      </c>
      <c r="D247" s="46" t="s">
        <v>1043</v>
      </c>
    </row>
    <row r="248" spans="2:8">
      <c r="B248" s="46" t="s">
        <v>189</v>
      </c>
      <c r="C248" s="46" t="s">
        <v>1043</v>
      </c>
      <c r="D248" s="46" t="s">
        <v>1043</v>
      </c>
      <c r="E248" s="46" t="s">
        <v>50</v>
      </c>
      <c r="F248" s="46" t="s">
        <v>1043</v>
      </c>
      <c r="G248" s="46" t="s">
        <v>1043</v>
      </c>
      <c r="H248" s="46" t="s">
        <v>1043</v>
      </c>
    </row>
    <row r="249" spans="2:8">
      <c r="B249" s="46" t="s">
        <v>189</v>
      </c>
      <c r="C249" s="46" t="s">
        <v>1043</v>
      </c>
      <c r="D249" s="46" t="s">
        <v>1043</v>
      </c>
      <c r="E249" s="46" t="s">
        <v>30</v>
      </c>
      <c r="F249" s="46" t="s">
        <v>1043</v>
      </c>
      <c r="G249" s="46" t="s">
        <v>1043</v>
      </c>
      <c r="H249" s="46" t="s">
        <v>1043</v>
      </c>
    </row>
    <row r="250" spans="2:8">
      <c r="B250" s="46" t="s">
        <v>189</v>
      </c>
      <c r="C250" s="46" t="s">
        <v>1043</v>
      </c>
      <c r="D250" s="46" t="s">
        <v>1043</v>
      </c>
      <c r="E250" s="46" t="s">
        <v>39</v>
      </c>
      <c r="F250" s="46" t="s">
        <v>1043</v>
      </c>
      <c r="G250" s="46" t="s">
        <v>1043</v>
      </c>
      <c r="H250" s="46" t="s">
        <v>1043</v>
      </c>
    </row>
    <row r="251" spans="2:8">
      <c r="B251" s="46" t="s">
        <v>189</v>
      </c>
      <c r="C251" s="46" t="s">
        <v>1043</v>
      </c>
      <c r="D251" s="46" t="s">
        <v>1043</v>
      </c>
      <c r="E251" s="46" t="s">
        <v>181</v>
      </c>
      <c r="F251" s="46" t="s">
        <v>1043</v>
      </c>
      <c r="G251" s="46" t="s">
        <v>1043</v>
      </c>
      <c r="H251" s="46" t="s">
        <v>1043</v>
      </c>
    </row>
    <row r="252" spans="2:8">
      <c r="B252" s="46" t="s">
        <v>189</v>
      </c>
      <c r="C252" s="46" t="s">
        <v>1043</v>
      </c>
      <c r="D252" s="46" t="s">
        <v>1043</v>
      </c>
    </row>
    <row r="253" spans="2:8">
      <c r="B253" s="46" t="s">
        <v>190</v>
      </c>
      <c r="C253" s="46" t="s">
        <v>1043</v>
      </c>
      <c r="D253" s="46" t="s">
        <v>1043</v>
      </c>
      <c r="E253" s="46" t="s">
        <v>52</v>
      </c>
      <c r="F253" s="46" t="s">
        <v>1043</v>
      </c>
      <c r="G253" s="46" t="s">
        <v>1043</v>
      </c>
      <c r="H253" s="46" t="s">
        <v>1043</v>
      </c>
    </row>
    <row r="254" spans="2:8">
      <c r="B254" s="46" t="s">
        <v>190</v>
      </c>
      <c r="C254" s="46" t="s">
        <v>1043</v>
      </c>
      <c r="D254" s="46" t="s">
        <v>1043</v>
      </c>
      <c r="E254" s="46" t="s">
        <v>32</v>
      </c>
      <c r="F254" s="46" t="s">
        <v>1043</v>
      </c>
      <c r="G254" s="46" t="s">
        <v>1043</v>
      </c>
      <c r="H254" s="46" t="s">
        <v>1043</v>
      </c>
    </row>
    <row r="255" spans="2:8">
      <c r="B255" s="46" t="s">
        <v>190</v>
      </c>
      <c r="C255" s="46" t="s">
        <v>1043</v>
      </c>
      <c r="D255" s="46" t="s">
        <v>1043</v>
      </c>
      <c r="E255" s="46" t="s">
        <v>44</v>
      </c>
      <c r="F255" s="46" t="s">
        <v>1043</v>
      </c>
      <c r="G255" s="46" t="s">
        <v>1043</v>
      </c>
      <c r="H255" s="46" t="s">
        <v>1043</v>
      </c>
    </row>
    <row r="256" spans="2:8">
      <c r="B256" s="46" t="s">
        <v>190</v>
      </c>
      <c r="C256" s="46" t="s">
        <v>1043</v>
      </c>
      <c r="D256" s="46" t="s">
        <v>1043</v>
      </c>
      <c r="E256" s="46" t="s">
        <v>179</v>
      </c>
      <c r="F256" s="46" t="s">
        <v>1043</v>
      </c>
      <c r="G256" s="46" t="s">
        <v>1043</v>
      </c>
      <c r="H256" s="46" t="s">
        <v>1043</v>
      </c>
    </row>
    <row r="257" spans="2:8">
      <c r="B257" s="46" t="s">
        <v>190</v>
      </c>
      <c r="C257" s="46" t="s">
        <v>1043</v>
      </c>
      <c r="D257" s="46" t="s">
        <v>1043</v>
      </c>
    </row>
    <row r="258" spans="2:8">
      <c r="B258" s="46" t="s">
        <v>191</v>
      </c>
      <c r="C258" s="46" t="s">
        <v>1043</v>
      </c>
      <c r="D258" s="46" t="s">
        <v>1043</v>
      </c>
      <c r="E258" s="46" t="s">
        <v>52</v>
      </c>
      <c r="F258" s="46" t="s">
        <v>1043</v>
      </c>
      <c r="G258" s="46" t="s">
        <v>1043</v>
      </c>
      <c r="H258" s="46" t="s">
        <v>1043</v>
      </c>
    </row>
    <row r="259" spans="2:8">
      <c r="B259" s="46" t="s">
        <v>191</v>
      </c>
      <c r="C259" s="46" t="s">
        <v>1043</v>
      </c>
      <c r="D259" s="46" t="s">
        <v>1043</v>
      </c>
      <c r="E259" s="46" t="s">
        <v>32</v>
      </c>
      <c r="F259" s="46" t="s">
        <v>1043</v>
      </c>
      <c r="G259" s="46" t="s">
        <v>1043</v>
      </c>
      <c r="H259" s="46" t="s">
        <v>1043</v>
      </c>
    </row>
    <row r="260" spans="2:8">
      <c r="B260" s="46" t="s">
        <v>191</v>
      </c>
      <c r="C260" s="46" t="s">
        <v>1043</v>
      </c>
      <c r="D260" s="46" t="s">
        <v>1043</v>
      </c>
      <c r="E260" s="46" t="s">
        <v>44</v>
      </c>
      <c r="F260" s="46" t="s">
        <v>1043</v>
      </c>
      <c r="G260" s="46" t="s">
        <v>1043</v>
      </c>
      <c r="H260" s="46" t="s">
        <v>1043</v>
      </c>
    </row>
    <row r="261" spans="2:8">
      <c r="B261" s="46" t="s">
        <v>191</v>
      </c>
      <c r="C261" s="46" t="s">
        <v>1043</v>
      </c>
      <c r="D261" s="46" t="s">
        <v>1043</v>
      </c>
      <c r="E261" s="46" t="s">
        <v>41</v>
      </c>
      <c r="F261" s="46" t="s">
        <v>1043</v>
      </c>
      <c r="G261" s="46" t="s">
        <v>1043</v>
      </c>
      <c r="H261" s="46" t="s">
        <v>1043</v>
      </c>
    </row>
    <row r="262" spans="2:8">
      <c r="B262" s="46" t="s">
        <v>191</v>
      </c>
      <c r="C262" s="46" t="s">
        <v>1043</v>
      </c>
      <c r="D262" s="46" t="s">
        <v>1043</v>
      </c>
      <c r="E262" s="46" t="s">
        <v>181</v>
      </c>
      <c r="F262" s="46" t="s">
        <v>1043</v>
      </c>
      <c r="G262" s="46" t="s">
        <v>1043</v>
      </c>
      <c r="H262" s="46" t="s">
        <v>1043</v>
      </c>
    </row>
    <row r="263" spans="2:8">
      <c r="B263" s="46" t="s">
        <v>191</v>
      </c>
      <c r="C263" s="46" t="s">
        <v>1043</v>
      </c>
      <c r="D263" s="46" t="s">
        <v>1043</v>
      </c>
    </row>
    <row r="264" spans="2:8">
      <c r="B264" s="46" t="s">
        <v>192</v>
      </c>
      <c r="C264" s="46" t="s">
        <v>1043</v>
      </c>
      <c r="D264" s="46" t="s">
        <v>1043</v>
      </c>
      <c r="E264" s="46" t="s">
        <v>52</v>
      </c>
      <c r="F264" s="46" t="s">
        <v>1043</v>
      </c>
      <c r="G264" s="46" t="s">
        <v>1043</v>
      </c>
      <c r="H264" s="46" t="s">
        <v>1043</v>
      </c>
    </row>
    <row r="265" spans="2:8">
      <c r="B265" s="46" t="s">
        <v>192</v>
      </c>
      <c r="C265" s="46" t="s">
        <v>1043</v>
      </c>
      <c r="D265" s="46" t="s">
        <v>1043</v>
      </c>
      <c r="E265" s="46" t="s">
        <v>32</v>
      </c>
      <c r="F265" s="46" t="s">
        <v>1043</v>
      </c>
      <c r="G265" s="46" t="s">
        <v>1043</v>
      </c>
      <c r="H265" s="46" t="s">
        <v>1043</v>
      </c>
    </row>
    <row r="266" spans="2:8">
      <c r="B266" s="46" t="s">
        <v>192</v>
      </c>
      <c r="C266" s="46" t="s">
        <v>1043</v>
      </c>
      <c r="D266" s="46" t="s">
        <v>1043</v>
      </c>
      <c r="E266" s="46" t="s">
        <v>44</v>
      </c>
      <c r="F266" s="46" t="s">
        <v>1043</v>
      </c>
      <c r="G266" s="46" t="s">
        <v>1043</v>
      </c>
      <c r="H266" s="46" t="s">
        <v>1043</v>
      </c>
    </row>
    <row r="267" spans="2:8">
      <c r="B267" s="46" t="s">
        <v>192</v>
      </c>
      <c r="C267" s="46" t="s">
        <v>1043</v>
      </c>
      <c r="D267" s="46" t="s">
        <v>1043</v>
      </c>
      <c r="E267" s="46" t="s">
        <v>181</v>
      </c>
      <c r="F267" s="46" t="s">
        <v>1043</v>
      </c>
      <c r="G267" s="46" t="s">
        <v>1043</v>
      </c>
      <c r="H267" s="46" t="s">
        <v>1043</v>
      </c>
    </row>
    <row r="268" spans="2:8">
      <c r="B268" s="46" t="s">
        <v>192</v>
      </c>
      <c r="C268" s="46" t="s">
        <v>1043</v>
      </c>
      <c r="D268" s="46" t="s">
        <v>1043</v>
      </c>
    </row>
    <row r="269" spans="2:8">
      <c r="B269" s="46" t="s">
        <v>193</v>
      </c>
      <c r="C269" s="46" t="s">
        <v>1043</v>
      </c>
      <c r="D269" s="46" t="s">
        <v>1043</v>
      </c>
      <c r="E269" s="46" t="s">
        <v>181</v>
      </c>
      <c r="F269" s="46" t="s">
        <v>1043</v>
      </c>
      <c r="G269" s="46" t="s">
        <v>1043</v>
      </c>
      <c r="H269" s="46" t="s">
        <v>1043</v>
      </c>
    </row>
    <row r="270" spans="2:8">
      <c r="B270" s="46" t="s">
        <v>193</v>
      </c>
      <c r="C270" s="46" t="s">
        <v>1043</v>
      </c>
      <c r="D270" s="46" t="s">
        <v>1043</v>
      </c>
      <c r="E270" s="46" t="s">
        <v>82</v>
      </c>
      <c r="F270" s="46" t="s">
        <v>1043</v>
      </c>
      <c r="G270" s="46" t="s">
        <v>1043</v>
      </c>
      <c r="H270" s="46" t="s">
        <v>1043</v>
      </c>
    </row>
    <row r="271" spans="2:8">
      <c r="B271" s="46" t="s">
        <v>193</v>
      </c>
      <c r="C271" s="46" t="s">
        <v>1043</v>
      </c>
      <c r="D271" s="46" t="s">
        <v>1043</v>
      </c>
    </row>
    <row r="272" spans="2:8">
      <c r="B272" s="46" t="s">
        <v>194</v>
      </c>
      <c r="C272" s="46" t="s">
        <v>1043</v>
      </c>
      <c r="D272" s="46" t="s">
        <v>1043</v>
      </c>
      <c r="E272" s="46" t="s">
        <v>181</v>
      </c>
      <c r="F272" s="46" t="s">
        <v>1043</v>
      </c>
      <c r="G272" s="46" t="s">
        <v>1043</v>
      </c>
      <c r="H272" s="46" t="s">
        <v>1043</v>
      </c>
    </row>
    <row r="273" spans="2:8">
      <c r="B273" s="46" t="s">
        <v>194</v>
      </c>
      <c r="C273" s="46" t="s">
        <v>1043</v>
      </c>
      <c r="D273" s="46" t="s">
        <v>1043</v>
      </c>
      <c r="E273" s="46" t="s">
        <v>81</v>
      </c>
      <c r="F273" s="46" t="s">
        <v>1043</v>
      </c>
      <c r="G273" s="46" t="s">
        <v>1043</v>
      </c>
      <c r="H273" s="46" t="s">
        <v>1043</v>
      </c>
    </row>
    <row r="274" spans="2:8">
      <c r="B274" s="46" t="s">
        <v>194</v>
      </c>
      <c r="C274" s="46" t="s">
        <v>1043</v>
      </c>
      <c r="D274" s="46" t="s">
        <v>1043</v>
      </c>
    </row>
    <row r="275" spans="2:8">
      <c r="B275" s="46" t="s">
        <v>195</v>
      </c>
      <c r="C275" s="46" t="s">
        <v>1043</v>
      </c>
      <c r="D275" s="46" t="s">
        <v>1043</v>
      </c>
      <c r="E275" s="46" t="s">
        <v>196</v>
      </c>
      <c r="F275" s="46" t="s">
        <v>1043</v>
      </c>
      <c r="G275" s="46" t="s">
        <v>1043</v>
      </c>
      <c r="H275" s="46" t="s">
        <v>1043</v>
      </c>
    </row>
    <row r="276" spans="2:8">
      <c r="B276" s="46" t="s">
        <v>195</v>
      </c>
      <c r="C276" s="46" t="s">
        <v>1043</v>
      </c>
      <c r="D276" s="46" t="s">
        <v>1043</v>
      </c>
      <c r="E276" s="46" t="s">
        <v>78</v>
      </c>
      <c r="F276" s="46" t="s">
        <v>1043</v>
      </c>
      <c r="G276" s="46" t="s">
        <v>1043</v>
      </c>
      <c r="H276" s="46" t="s">
        <v>1043</v>
      </c>
    </row>
    <row r="277" spans="2:8">
      <c r="B277" s="46" t="s">
        <v>195</v>
      </c>
      <c r="C277" s="46" t="s">
        <v>1043</v>
      </c>
      <c r="D277" s="46" t="s">
        <v>1043</v>
      </c>
      <c r="E277" s="46" t="s">
        <v>86</v>
      </c>
      <c r="F277" s="46" t="s">
        <v>1043</v>
      </c>
      <c r="G277" s="46" t="s">
        <v>1043</v>
      </c>
      <c r="H277" s="46" t="s">
        <v>1043</v>
      </c>
    </row>
    <row r="278" spans="2:8">
      <c r="B278" s="46" t="s">
        <v>195</v>
      </c>
      <c r="C278" s="46" t="s">
        <v>1043</v>
      </c>
      <c r="D278" s="46" t="s">
        <v>1043</v>
      </c>
      <c r="E278" s="46" t="s">
        <v>82</v>
      </c>
      <c r="F278" s="46" t="s">
        <v>1043</v>
      </c>
      <c r="G278" s="46" t="s">
        <v>1043</v>
      </c>
      <c r="H278" s="46" t="s">
        <v>1043</v>
      </c>
    </row>
    <row r="279" spans="2:8">
      <c r="B279" s="46" t="s">
        <v>195</v>
      </c>
      <c r="C279" s="46" t="s">
        <v>1043</v>
      </c>
      <c r="D279" s="46" t="s">
        <v>1043</v>
      </c>
    </row>
    <row r="280" spans="2:8">
      <c r="B280" s="46" t="s">
        <v>197</v>
      </c>
      <c r="C280" s="46" t="s">
        <v>1043</v>
      </c>
      <c r="D280" s="46" t="s">
        <v>1043</v>
      </c>
      <c r="E280" s="46" t="s">
        <v>181</v>
      </c>
      <c r="F280" s="46" t="s">
        <v>1043</v>
      </c>
      <c r="G280" s="46" t="s">
        <v>1043</v>
      </c>
      <c r="H280" s="46" t="s">
        <v>1043</v>
      </c>
    </row>
    <row r="281" spans="2:8">
      <c r="B281" s="46" t="s">
        <v>197</v>
      </c>
      <c r="C281" s="46" t="s">
        <v>1043</v>
      </c>
      <c r="D281" s="46" t="s">
        <v>1043</v>
      </c>
      <c r="E281" s="46" t="s">
        <v>78</v>
      </c>
      <c r="F281" s="46" t="s">
        <v>1043</v>
      </c>
      <c r="G281" s="46" t="s">
        <v>1043</v>
      </c>
      <c r="H281" s="46" t="s">
        <v>1043</v>
      </c>
    </row>
    <row r="282" spans="2:8">
      <c r="B282" s="46" t="s">
        <v>197</v>
      </c>
      <c r="C282" s="46" t="s">
        <v>1043</v>
      </c>
      <c r="D282" s="46" t="s">
        <v>1043</v>
      </c>
      <c r="E282" s="46" t="s">
        <v>86</v>
      </c>
      <c r="F282" s="46" t="s">
        <v>1043</v>
      </c>
      <c r="G282" s="46" t="s">
        <v>1043</v>
      </c>
      <c r="H282" s="46" t="s">
        <v>1043</v>
      </c>
    </row>
    <row r="283" spans="2:8">
      <c r="B283" s="46" t="s">
        <v>197</v>
      </c>
      <c r="C283" s="46" t="s">
        <v>1043</v>
      </c>
      <c r="D283" s="46" t="s">
        <v>1043</v>
      </c>
      <c r="E283" s="46" t="s">
        <v>82</v>
      </c>
      <c r="F283" s="46" t="s">
        <v>1043</v>
      </c>
      <c r="G283" s="46" t="s">
        <v>1043</v>
      </c>
      <c r="H283" s="46" t="s">
        <v>1043</v>
      </c>
    </row>
    <row r="284" spans="2:8">
      <c r="B284" s="46" t="s">
        <v>197</v>
      </c>
      <c r="C284" s="46" t="s">
        <v>1043</v>
      </c>
      <c r="D284" s="46" t="s">
        <v>1043</v>
      </c>
    </row>
    <row r="285" spans="2:8">
      <c r="B285" s="46" t="s">
        <v>198</v>
      </c>
      <c r="C285" s="46" t="s">
        <v>1043</v>
      </c>
      <c r="D285" s="46" t="s">
        <v>1043</v>
      </c>
      <c r="E285" s="46" t="s">
        <v>196</v>
      </c>
      <c r="F285" s="46" t="s">
        <v>1043</v>
      </c>
      <c r="G285" s="46" t="s">
        <v>1043</v>
      </c>
      <c r="H285" s="46" t="s">
        <v>1043</v>
      </c>
    </row>
    <row r="286" spans="2:8">
      <c r="B286" s="46" t="s">
        <v>198</v>
      </c>
      <c r="C286" s="46" t="s">
        <v>1043</v>
      </c>
      <c r="D286" s="46" t="s">
        <v>1043</v>
      </c>
      <c r="E286" s="46" t="s">
        <v>77</v>
      </c>
      <c r="F286" s="46" t="s">
        <v>1043</v>
      </c>
      <c r="G286" s="46" t="s">
        <v>1043</v>
      </c>
      <c r="H286" s="46" t="s">
        <v>1043</v>
      </c>
    </row>
    <row r="287" spans="2:8">
      <c r="B287" s="46" t="s">
        <v>198</v>
      </c>
      <c r="C287" s="46" t="s">
        <v>1043</v>
      </c>
      <c r="D287" s="46" t="s">
        <v>1043</v>
      </c>
      <c r="E287" s="46" t="s">
        <v>85</v>
      </c>
      <c r="F287" s="46" t="s">
        <v>1043</v>
      </c>
      <c r="G287" s="46" t="s">
        <v>1043</v>
      </c>
      <c r="H287" s="46" t="s">
        <v>1043</v>
      </c>
    </row>
    <row r="288" spans="2:8">
      <c r="B288" s="46" t="s">
        <v>198</v>
      </c>
      <c r="C288" s="46" t="s">
        <v>1043</v>
      </c>
      <c r="D288" s="46" t="s">
        <v>1043</v>
      </c>
      <c r="E288" s="46" t="s">
        <v>81</v>
      </c>
      <c r="F288" s="46" t="s">
        <v>1043</v>
      </c>
      <c r="G288" s="46" t="s">
        <v>1043</v>
      </c>
      <c r="H288" s="46" t="s">
        <v>1043</v>
      </c>
    </row>
    <row r="289" spans="2:8">
      <c r="B289" s="46" t="s">
        <v>198</v>
      </c>
      <c r="C289" s="46" t="s">
        <v>1043</v>
      </c>
      <c r="D289" s="46" t="s">
        <v>1043</v>
      </c>
    </row>
    <row r="290" spans="2:8">
      <c r="B290" s="46" t="s">
        <v>199</v>
      </c>
      <c r="C290" s="46" t="s">
        <v>1043</v>
      </c>
      <c r="D290" s="46" t="s">
        <v>1043</v>
      </c>
      <c r="E290" s="46" t="s">
        <v>181</v>
      </c>
      <c r="F290" s="46" t="s">
        <v>1043</v>
      </c>
      <c r="G290" s="46" t="s">
        <v>1043</v>
      </c>
      <c r="H290" s="46" t="s">
        <v>1043</v>
      </c>
    </row>
    <row r="291" spans="2:8">
      <c r="B291" s="46" t="s">
        <v>199</v>
      </c>
      <c r="C291" s="46" t="s">
        <v>1043</v>
      </c>
      <c r="D291" s="46" t="s">
        <v>1043</v>
      </c>
      <c r="E291" s="46" t="s">
        <v>77</v>
      </c>
      <c r="F291" s="46" t="s">
        <v>1043</v>
      </c>
      <c r="G291" s="46" t="s">
        <v>1043</v>
      </c>
      <c r="H291" s="46" t="s">
        <v>1043</v>
      </c>
    </row>
    <row r="292" spans="2:8">
      <c r="B292" s="46" t="s">
        <v>199</v>
      </c>
      <c r="C292" s="46" t="s">
        <v>1043</v>
      </c>
      <c r="D292" s="46" t="s">
        <v>1043</v>
      </c>
      <c r="E292" s="46" t="s">
        <v>85</v>
      </c>
      <c r="F292" s="46" t="s">
        <v>1043</v>
      </c>
      <c r="G292" s="46" t="s">
        <v>1043</v>
      </c>
      <c r="H292" s="46" t="s">
        <v>1043</v>
      </c>
    </row>
    <row r="293" spans="2:8">
      <c r="B293" s="46" t="s">
        <v>199</v>
      </c>
      <c r="C293" s="46" t="s">
        <v>1043</v>
      </c>
      <c r="D293" s="46" t="s">
        <v>1043</v>
      </c>
      <c r="E293" s="46" t="s">
        <v>81</v>
      </c>
      <c r="F293" s="46" t="s">
        <v>1043</v>
      </c>
      <c r="G293" s="46" t="s">
        <v>1043</v>
      </c>
      <c r="H293" s="46" t="s">
        <v>1043</v>
      </c>
    </row>
    <row r="294" spans="2:8">
      <c r="B294" s="46" t="s">
        <v>199</v>
      </c>
      <c r="C294" s="46" t="s">
        <v>1043</v>
      </c>
      <c r="D294" s="46" t="s">
        <v>1043</v>
      </c>
    </row>
    <row r="295" spans="2:8">
      <c r="B295" s="46" t="s">
        <v>200</v>
      </c>
      <c r="C295" s="46" t="s">
        <v>1043</v>
      </c>
      <c r="D295" s="46" t="s">
        <v>1043</v>
      </c>
      <c r="E295" s="46" t="s">
        <v>181</v>
      </c>
      <c r="F295" s="46" t="s">
        <v>1043</v>
      </c>
      <c r="G295" s="46" t="s">
        <v>1043</v>
      </c>
      <c r="H295" s="46" t="s">
        <v>1043</v>
      </c>
    </row>
    <row r="296" spans="2:8">
      <c r="B296" s="46" t="s">
        <v>200</v>
      </c>
      <c r="C296" s="46" t="s">
        <v>1043</v>
      </c>
      <c r="D296" s="46" t="s">
        <v>1043</v>
      </c>
      <c r="E296" s="46" t="s">
        <v>78</v>
      </c>
      <c r="F296" s="46" t="s">
        <v>1043</v>
      </c>
      <c r="G296" s="46" t="s">
        <v>1043</v>
      </c>
      <c r="H296" s="46" t="s">
        <v>1043</v>
      </c>
    </row>
    <row r="297" spans="2:8">
      <c r="B297" s="46" t="s">
        <v>200</v>
      </c>
      <c r="C297" s="46" t="s">
        <v>1043</v>
      </c>
      <c r="D297" s="46" t="s">
        <v>1043</v>
      </c>
      <c r="E297" s="46" t="s">
        <v>82</v>
      </c>
      <c r="F297" s="46" t="s">
        <v>1043</v>
      </c>
      <c r="G297" s="46" t="s">
        <v>1043</v>
      </c>
      <c r="H297" s="46" t="s">
        <v>1043</v>
      </c>
    </row>
    <row r="298" spans="2:8">
      <c r="B298" s="46" t="s">
        <v>200</v>
      </c>
      <c r="C298" s="46" t="s">
        <v>1043</v>
      </c>
      <c r="D298" s="46" t="s">
        <v>1043</v>
      </c>
    </row>
    <row r="299" spans="2:8">
      <c r="B299" s="46" t="s">
        <v>201</v>
      </c>
      <c r="C299" s="46" t="s">
        <v>1043</v>
      </c>
      <c r="D299" s="46" t="s">
        <v>1043</v>
      </c>
      <c r="E299" s="46" t="s">
        <v>181</v>
      </c>
      <c r="F299" s="46" t="s">
        <v>1043</v>
      </c>
      <c r="G299" s="46" t="s">
        <v>1043</v>
      </c>
      <c r="H299" s="46" t="s">
        <v>1043</v>
      </c>
    </row>
    <row r="300" spans="2:8">
      <c r="B300" s="46" t="s">
        <v>201</v>
      </c>
      <c r="C300" s="46" t="s">
        <v>1043</v>
      </c>
      <c r="D300" s="46" t="s">
        <v>1043</v>
      </c>
      <c r="E300" s="46" t="s">
        <v>77</v>
      </c>
      <c r="F300" s="46" t="s">
        <v>1043</v>
      </c>
      <c r="G300" s="46" t="s">
        <v>1043</v>
      </c>
      <c r="H300" s="46" t="s">
        <v>1043</v>
      </c>
    </row>
    <row r="301" spans="2:8">
      <c r="B301" s="46" t="s">
        <v>201</v>
      </c>
      <c r="C301" s="46" t="s">
        <v>1043</v>
      </c>
      <c r="D301" s="46" t="s">
        <v>1043</v>
      </c>
      <c r="E301" s="46" t="s">
        <v>81</v>
      </c>
      <c r="F301" s="46" t="s">
        <v>1043</v>
      </c>
      <c r="G301" s="46" t="s">
        <v>1043</v>
      </c>
      <c r="H301" s="46" t="s">
        <v>1043</v>
      </c>
    </row>
    <row r="302" spans="2:8">
      <c r="B302" s="46" t="s">
        <v>201</v>
      </c>
      <c r="C302" s="46" t="s">
        <v>1043</v>
      </c>
      <c r="D302" s="46" t="s">
        <v>1043</v>
      </c>
    </row>
    <row r="303" spans="2:8">
      <c r="B303" s="46" t="s">
        <v>202</v>
      </c>
      <c r="C303" s="46" t="s">
        <v>1043</v>
      </c>
      <c r="D303" s="46" t="s">
        <v>1043</v>
      </c>
      <c r="E303" s="46" t="s">
        <v>181</v>
      </c>
      <c r="F303" s="46" t="s">
        <v>1043</v>
      </c>
      <c r="G303" s="46" t="s">
        <v>1043</v>
      </c>
      <c r="H303" s="46" t="s">
        <v>1043</v>
      </c>
    </row>
    <row r="304" spans="2:8">
      <c r="B304" s="46" t="s">
        <v>202</v>
      </c>
      <c r="C304" s="46" t="s">
        <v>1043</v>
      </c>
      <c r="D304" s="46" t="s">
        <v>1043</v>
      </c>
      <c r="E304" s="46" t="s">
        <v>111</v>
      </c>
      <c r="F304" s="46" t="s">
        <v>1043</v>
      </c>
      <c r="G304" s="46" t="s">
        <v>1043</v>
      </c>
      <c r="H304" s="46" t="s">
        <v>1043</v>
      </c>
    </row>
    <row r="305" spans="2:8">
      <c r="B305" s="46" t="s">
        <v>202</v>
      </c>
      <c r="C305" s="46" t="s">
        <v>1043</v>
      </c>
      <c r="D305" s="46" t="s">
        <v>1043</v>
      </c>
      <c r="E305" s="46" t="s">
        <v>116</v>
      </c>
      <c r="F305" s="46" t="s">
        <v>1043</v>
      </c>
      <c r="G305" s="46" t="s">
        <v>1043</v>
      </c>
      <c r="H305" s="46" t="s">
        <v>1043</v>
      </c>
    </row>
    <row r="306" spans="2:8">
      <c r="B306" s="46" t="s">
        <v>202</v>
      </c>
      <c r="C306" s="46" t="s">
        <v>1043</v>
      </c>
      <c r="D306" s="46" t="s">
        <v>1043</v>
      </c>
    </row>
    <row r="307" spans="2:8">
      <c r="B307" s="46" t="s">
        <v>203</v>
      </c>
      <c r="C307" s="46" t="s">
        <v>1043</v>
      </c>
      <c r="D307" s="46" t="s">
        <v>1043</v>
      </c>
      <c r="E307" s="46" t="s">
        <v>181</v>
      </c>
      <c r="F307" s="46" t="s">
        <v>1043</v>
      </c>
      <c r="G307" s="46" t="s">
        <v>1043</v>
      </c>
      <c r="H307" s="46" t="s">
        <v>1043</v>
      </c>
    </row>
    <row r="308" spans="2:8">
      <c r="B308" s="46" t="s">
        <v>203</v>
      </c>
      <c r="C308" s="46" t="s">
        <v>1043</v>
      </c>
      <c r="D308" s="46" t="s">
        <v>1043</v>
      </c>
      <c r="E308" s="46" t="s">
        <v>116</v>
      </c>
      <c r="F308" s="46" t="s">
        <v>1043</v>
      </c>
      <c r="G308" s="46" t="s">
        <v>1043</v>
      </c>
      <c r="H308" s="46" t="s">
        <v>1043</v>
      </c>
    </row>
    <row r="309" spans="2:8">
      <c r="B309" s="46" t="s">
        <v>203</v>
      </c>
      <c r="C309" s="46" t="s">
        <v>1043</v>
      </c>
      <c r="D309" s="46" t="s">
        <v>1043</v>
      </c>
    </row>
    <row r="310" spans="2:8">
      <c r="B310" s="46" t="s">
        <v>204</v>
      </c>
      <c r="C310" s="46" t="s">
        <v>1043</v>
      </c>
      <c r="D310" s="46" t="s">
        <v>1043</v>
      </c>
      <c r="E310" s="46" t="s">
        <v>181</v>
      </c>
      <c r="F310" s="46" t="s">
        <v>1043</v>
      </c>
      <c r="G310" s="46" t="s">
        <v>1043</v>
      </c>
      <c r="H310" s="46" t="s">
        <v>1043</v>
      </c>
    </row>
    <row r="311" spans="2:8">
      <c r="B311" s="46" t="s">
        <v>204</v>
      </c>
      <c r="C311" s="46" t="s">
        <v>1043</v>
      </c>
      <c r="D311" s="46" t="s">
        <v>1043</v>
      </c>
      <c r="E311" s="46" t="s">
        <v>111</v>
      </c>
      <c r="F311" s="46" t="s">
        <v>1043</v>
      </c>
      <c r="G311" s="46" t="s">
        <v>1043</v>
      </c>
      <c r="H311" s="46" t="s">
        <v>1043</v>
      </c>
    </row>
    <row r="312" spans="2:8">
      <c r="B312" s="46" t="s">
        <v>204</v>
      </c>
      <c r="C312" s="46" t="s">
        <v>1043</v>
      </c>
      <c r="D312" s="46" t="s">
        <v>1043</v>
      </c>
      <c r="E312" s="46" t="s">
        <v>116</v>
      </c>
      <c r="F312" s="46" t="s">
        <v>1043</v>
      </c>
      <c r="G312" s="46" t="s">
        <v>1043</v>
      </c>
      <c r="H312" s="46" t="s">
        <v>1043</v>
      </c>
    </row>
    <row r="313" spans="2:8">
      <c r="B313" s="46" t="s">
        <v>204</v>
      </c>
      <c r="C313" s="46" t="s">
        <v>1043</v>
      </c>
      <c r="D313" s="46" t="s">
        <v>1043</v>
      </c>
    </row>
    <row r="314" spans="2:8">
      <c r="B314" s="46" t="s">
        <v>205</v>
      </c>
      <c r="C314" s="46" t="s">
        <v>1043</v>
      </c>
      <c r="D314" s="46" t="s">
        <v>1043</v>
      </c>
      <c r="E314" s="46" t="s">
        <v>181</v>
      </c>
      <c r="F314" s="46" t="s">
        <v>1043</v>
      </c>
      <c r="G314" s="46" t="s">
        <v>1043</v>
      </c>
      <c r="H314" s="46" t="s">
        <v>1043</v>
      </c>
    </row>
    <row r="315" spans="2:8">
      <c r="B315" s="46" t="s">
        <v>205</v>
      </c>
      <c r="C315" s="46" t="s">
        <v>1043</v>
      </c>
      <c r="D315" s="46" t="s">
        <v>1043</v>
      </c>
      <c r="E315" s="46" t="s">
        <v>113</v>
      </c>
      <c r="F315" s="46" t="s">
        <v>1043</v>
      </c>
      <c r="G315" s="46" t="s">
        <v>1043</v>
      </c>
      <c r="H315" s="46" t="s">
        <v>1043</v>
      </c>
    </row>
    <row r="316" spans="2:8">
      <c r="B316" s="46" t="s">
        <v>205</v>
      </c>
      <c r="C316" s="46" t="s">
        <v>1043</v>
      </c>
      <c r="D316" s="46" t="s">
        <v>1043</v>
      </c>
      <c r="E316" s="46" t="s">
        <v>118</v>
      </c>
      <c r="F316" s="46" t="s">
        <v>1043</v>
      </c>
      <c r="G316" s="46" t="s">
        <v>1043</v>
      </c>
      <c r="H316" s="46" t="s">
        <v>1043</v>
      </c>
    </row>
    <row r="317" spans="2:8">
      <c r="B317" s="46" t="s">
        <v>205</v>
      </c>
      <c r="C317" s="46" t="s">
        <v>1043</v>
      </c>
      <c r="D317" s="46" t="s">
        <v>1043</v>
      </c>
    </row>
    <row r="318" spans="2:8">
      <c r="B318" s="46" t="s">
        <v>206</v>
      </c>
      <c r="C318" s="46" t="s">
        <v>1043</v>
      </c>
      <c r="D318" s="46" t="s">
        <v>1043</v>
      </c>
      <c r="E318" s="46" t="s">
        <v>181</v>
      </c>
      <c r="F318" s="46" t="s">
        <v>1043</v>
      </c>
      <c r="G318" s="46" t="s">
        <v>1043</v>
      </c>
      <c r="H318" s="46" t="s">
        <v>1043</v>
      </c>
    </row>
    <row r="319" spans="2:8">
      <c r="B319" s="46" t="s">
        <v>206</v>
      </c>
      <c r="C319" s="46" t="s">
        <v>1043</v>
      </c>
      <c r="D319" s="46" t="s">
        <v>1043</v>
      </c>
      <c r="E319" s="46" t="s">
        <v>118</v>
      </c>
      <c r="F319" s="46" t="s">
        <v>1043</v>
      </c>
      <c r="G319" s="46" t="s">
        <v>1043</v>
      </c>
      <c r="H319" s="46" t="s">
        <v>1043</v>
      </c>
    </row>
    <row r="320" spans="2:8">
      <c r="B320" s="46" t="s">
        <v>206</v>
      </c>
      <c r="C320" s="46" t="s">
        <v>1043</v>
      </c>
      <c r="D320" s="46" t="s">
        <v>1043</v>
      </c>
    </row>
    <row r="321" spans="2:8">
      <c r="B321" s="46" t="s">
        <v>207</v>
      </c>
      <c r="C321" s="46" t="s">
        <v>1043</v>
      </c>
      <c r="D321" s="46" t="s">
        <v>1043</v>
      </c>
      <c r="E321" s="46" t="s">
        <v>181</v>
      </c>
      <c r="F321" s="46" t="s">
        <v>1043</v>
      </c>
      <c r="G321" s="46" t="s">
        <v>1043</v>
      </c>
      <c r="H321" s="46" t="s">
        <v>1043</v>
      </c>
    </row>
    <row r="322" spans="2:8">
      <c r="B322" s="46" t="s">
        <v>207</v>
      </c>
      <c r="C322" s="46" t="s">
        <v>1043</v>
      </c>
      <c r="D322" s="46" t="s">
        <v>1043</v>
      </c>
      <c r="E322" s="46" t="s">
        <v>113</v>
      </c>
      <c r="F322" s="46" t="s">
        <v>1043</v>
      </c>
      <c r="G322" s="46" t="s">
        <v>1043</v>
      </c>
      <c r="H322" s="46" t="s">
        <v>1043</v>
      </c>
    </row>
    <row r="323" spans="2:8">
      <c r="B323" s="46" t="s">
        <v>207</v>
      </c>
      <c r="C323" s="46" t="s">
        <v>1043</v>
      </c>
      <c r="D323" s="46" t="s">
        <v>1043</v>
      </c>
      <c r="E323" s="46" t="s">
        <v>118</v>
      </c>
      <c r="F323" s="46" t="s">
        <v>1043</v>
      </c>
      <c r="G323" s="46" t="s">
        <v>1043</v>
      </c>
      <c r="H323" s="46" t="s">
        <v>1043</v>
      </c>
    </row>
    <row r="324" spans="2:8">
      <c r="B324" s="46" t="s">
        <v>207</v>
      </c>
      <c r="C324" s="46" t="s">
        <v>1043</v>
      </c>
      <c r="D324" s="46" t="s">
        <v>1043</v>
      </c>
    </row>
    <row r="325" spans="2:8">
      <c r="B325" s="46" t="s">
        <v>208</v>
      </c>
      <c r="C325" s="46" t="s">
        <v>1043</v>
      </c>
      <c r="D325" s="46" t="s">
        <v>1043</v>
      </c>
      <c r="E325" s="46" t="s">
        <v>181</v>
      </c>
      <c r="F325" s="46" t="s">
        <v>1043</v>
      </c>
      <c r="G325" s="46" t="s">
        <v>1043</v>
      </c>
      <c r="H325" s="46" t="s">
        <v>1043</v>
      </c>
    </row>
    <row r="326" spans="2:8">
      <c r="B326" s="46" t="s">
        <v>208</v>
      </c>
      <c r="C326" s="46" t="s">
        <v>1043</v>
      </c>
      <c r="D326" s="46" t="s">
        <v>1043</v>
      </c>
      <c r="E326" s="46" t="s">
        <v>112</v>
      </c>
      <c r="F326" s="46" t="s">
        <v>1043</v>
      </c>
      <c r="G326" s="46" t="s">
        <v>1043</v>
      </c>
      <c r="H326" s="46" t="s">
        <v>1043</v>
      </c>
    </row>
    <row r="327" spans="2:8">
      <c r="B327" s="46" t="s">
        <v>208</v>
      </c>
      <c r="C327" s="46" t="s">
        <v>1043</v>
      </c>
      <c r="D327" s="46" t="s">
        <v>1043</v>
      </c>
      <c r="E327" s="46" t="s">
        <v>117</v>
      </c>
      <c r="F327" s="46" t="s">
        <v>1043</v>
      </c>
      <c r="G327" s="46" t="s">
        <v>1043</v>
      </c>
      <c r="H327" s="46" t="s">
        <v>1043</v>
      </c>
    </row>
    <row r="328" spans="2:8">
      <c r="B328" s="46" t="s">
        <v>208</v>
      </c>
      <c r="C328" s="46" t="s">
        <v>1043</v>
      </c>
      <c r="D328" s="46" t="s">
        <v>1043</v>
      </c>
    </row>
    <row r="329" spans="2:8">
      <c r="B329" s="46" t="s">
        <v>209</v>
      </c>
      <c r="C329" s="46" t="s">
        <v>1043</v>
      </c>
      <c r="D329" s="46" t="s">
        <v>1043</v>
      </c>
      <c r="E329" s="46" t="s">
        <v>181</v>
      </c>
      <c r="F329" s="46" t="s">
        <v>1043</v>
      </c>
      <c r="G329" s="46" t="s">
        <v>1043</v>
      </c>
      <c r="H329" s="46" t="s">
        <v>1043</v>
      </c>
    </row>
    <row r="330" spans="2:8">
      <c r="B330" s="46" t="s">
        <v>209</v>
      </c>
      <c r="C330" s="46" t="s">
        <v>1043</v>
      </c>
      <c r="D330" s="46" t="s">
        <v>1043</v>
      </c>
      <c r="E330" s="46" t="s">
        <v>117</v>
      </c>
      <c r="F330" s="46" t="s">
        <v>1043</v>
      </c>
      <c r="G330" s="46" t="s">
        <v>1043</v>
      </c>
      <c r="H330" s="46" t="s">
        <v>1043</v>
      </c>
    </row>
    <row r="331" spans="2:8">
      <c r="B331" s="46" t="s">
        <v>209</v>
      </c>
      <c r="C331" s="46" t="s">
        <v>1043</v>
      </c>
      <c r="D331" s="46" t="s">
        <v>1043</v>
      </c>
    </row>
    <row r="332" spans="2:8">
      <c r="B332" s="46" t="s">
        <v>210</v>
      </c>
      <c r="C332" s="46" t="s">
        <v>1043</v>
      </c>
      <c r="D332" s="46" t="s">
        <v>1043</v>
      </c>
      <c r="E332" s="46" t="s">
        <v>181</v>
      </c>
      <c r="F332" s="46" t="s">
        <v>1043</v>
      </c>
      <c r="G332" s="46" t="s">
        <v>1043</v>
      </c>
      <c r="H332" s="46" t="s">
        <v>1043</v>
      </c>
    </row>
    <row r="333" spans="2:8">
      <c r="B333" s="46" t="s">
        <v>210</v>
      </c>
      <c r="C333" s="46" t="s">
        <v>1043</v>
      </c>
      <c r="D333" s="46" t="s">
        <v>1043</v>
      </c>
      <c r="E333" s="46" t="s">
        <v>112</v>
      </c>
      <c r="F333" s="46" t="s">
        <v>1043</v>
      </c>
      <c r="G333" s="46" t="s">
        <v>1043</v>
      </c>
      <c r="H333" s="46" t="s">
        <v>1043</v>
      </c>
    </row>
    <row r="334" spans="2:8">
      <c r="B334" s="46" t="s">
        <v>210</v>
      </c>
      <c r="C334" s="46" t="s">
        <v>1043</v>
      </c>
      <c r="D334" s="46" t="s">
        <v>1043</v>
      </c>
      <c r="E334" s="46" t="s">
        <v>117</v>
      </c>
      <c r="F334" s="46" t="s">
        <v>1043</v>
      </c>
      <c r="G334" s="46" t="s">
        <v>1043</v>
      </c>
      <c r="H334" s="46" t="s">
        <v>1043</v>
      </c>
    </row>
    <row r="335" spans="2:8">
      <c r="B335" s="46" t="s">
        <v>210</v>
      </c>
      <c r="C335" s="46" t="s">
        <v>1043</v>
      </c>
      <c r="D335" s="46" t="s">
        <v>1043</v>
      </c>
    </row>
    <row r="336" spans="2:8">
      <c r="B336" s="46" t="s">
        <v>211</v>
      </c>
      <c r="C336" s="46" t="s">
        <v>1043</v>
      </c>
      <c r="D336" s="46" t="s">
        <v>1043</v>
      </c>
      <c r="E336" s="46" t="s">
        <v>181</v>
      </c>
      <c r="F336" s="46" t="s">
        <v>1043</v>
      </c>
      <c r="G336" s="46" t="s">
        <v>1043</v>
      </c>
      <c r="H336" s="46" t="s">
        <v>1043</v>
      </c>
    </row>
    <row r="337" spans="2:8">
      <c r="B337" s="46" t="s">
        <v>211</v>
      </c>
      <c r="C337" s="46" t="s">
        <v>1043</v>
      </c>
      <c r="D337" s="46" t="s">
        <v>1043</v>
      </c>
      <c r="E337" s="46" t="s">
        <v>114</v>
      </c>
      <c r="F337" s="46" t="s">
        <v>1043</v>
      </c>
      <c r="G337" s="46" t="s">
        <v>1043</v>
      </c>
      <c r="H337" s="46" t="s">
        <v>1043</v>
      </c>
    </row>
    <row r="338" spans="2:8">
      <c r="B338" s="46" t="s">
        <v>211</v>
      </c>
      <c r="C338" s="46" t="s">
        <v>1043</v>
      </c>
      <c r="D338" s="46" t="s">
        <v>1043</v>
      </c>
      <c r="E338" s="46" t="s">
        <v>119</v>
      </c>
      <c r="F338" s="46" t="s">
        <v>1043</v>
      </c>
      <c r="G338" s="46" t="s">
        <v>1043</v>
      </c>
      <c r="H338" s="46" t="s">
        <v>1043</v>
      </c>
    </row>
    <row r="339" spans="2:8">
      <c r="B339" s="46" t="s">
        <v>211</v>
      </c>
      <c r="C339" s="46" t="s">
        <v>1043</v>
      </c>
      <c r="D339" s="46" t="s">
        <v>1043</v>
      </c>
    </row>
    <row r="340" spans="2:8">
      <c r="B340" s="46" t="s">
        <v>212</v>
      </c>
      <c r="C340" s="46" t="s">
        <v>1043</v>
      </c>
      <c r="D340" s="46" t="s">
        <v>1043</v>
      </c>
      <c r="E340" s="46" t="s">
        <v>181</v>
      </c>
      <c r="F340" s="46" t="s">
        <v>1043</v>
      </c>
      <c r="G340" s="46" t="s">
        <v>1043</v>
      </c>
      <c r="H340" s="46" t="s">
        <v>1095</v>
      </c>
    </row>
    <row r="341" spans="2:8">
      <c r="B341" s="46" t="s">
        <v>212</v>
      </c>
      <c r="C341" s="46" t="s">
        <v>1043</v>
      </c>
      <c r="D341" s="46" t="s">
        <v>1043</v>
      </c>
      <c r="E341" s="46" t="s">
        <v>119</v>
      </c>
      <c r="F341" s="46" t="s">
        <v>1043</v>
      </c>
      <c r="G341" s="46" t="s">
        <v>1043</v>
      </c>
      <c r="H341" s="46" t="s">
        <v>1043</v>
      </c>
    </row>
    <row r="342" spans="2:8">
      <c r="B342" s="46" t="s">
        <v>212</v>
      </c>
      <c r="C342" s="46" t="s">
        <v>1043</v>
      </c>
      <c r="D342" s="46" t="s">
        <v>1043</v>
      </c>
    </row>
    <row r="343" spans="2:8">
      <c r="B343" s="46" t="s">
        <v>213</v>
      </c>
      <c r="C343" s="46" t="s">
        <v>1043</v>
      </c>
      <c r="D343" s="46" t="s">
        <v>1043</v>
      </c>
      <c r="E343" s="46" t="s">
        <v>181</v>
      </c>
      <c r="F343" s="46" t="s">
        <v>1043</v>
      </c>
      <c r="G343" s="46" t="s">
        <v>1043</v>
      </c>
      <c r="H343" s="46" t="s">
        <v>1043</v>
      </c>
    </row>
    <row r="344" spans="2:8">
      <c r="B344" s="46" t="s">
        <v>213</v>
      </c>
      <c r="C344" s="46" t="s">
        <v>1043</v>
      </c>
      <c r="D344" s="46" t="s">
        <v>1043</v>
      </c>
      <c r="E344" s="46" t="s">
        <v>114</v>
      </c>
      <c r="F344" s="46" t="s">
        <v>1043</v>
      </c>
      <c r="G344" s="46" t="s">
        <v>1043</v>
      </c>
      <c r="H344" s="46" t="s">
        <v>1043</v>
      </c>
    </row>
    <row r="345" spans="2:8">
      <c r="B345" s="46" t="s">
        <v>213</v>
      </c>
      <c r="C345" s="46" t="s">
        <v>1043</v>
      </c>
      <c r="D345" s="46" t="s">
        <v>1043</v>
      </c>
      <c r="E345" s="46" t="s">
        <v>119</v>
      </c>
      <c r="F345" s="46" t="s">
        <v>1043</v>
      </c>
      <c r="G345" s="46" t="s">
        <v>1043</v>
      </c>
      <c r="H345" s="46" t="s">
        <v>1043</v>
      </c>
    </row>
    <row r="346" spans="2:8">
      <c r="B346" s="46" t="s">
        <v>213</v>
      </c>
      <c r="C346" s="46" t="s">
        <v>1043</v>
      </c>
      <c r="D346" s="46" t="s">
        <v>1043</v>
      </c>
    </row>
    <row r="347" spans="2:8">
      <c r="B347" s="46" t="s">
        <v>214</v>
      </c>
      <c r="C347" s="46" t="s">
        <v>1043</v>
      </c>
      <c r="D347" s="46" t="s">
        <v>1043</v>
      </c>
      <c r="E347" s="46" t="s">
        <v>28</v>
      </c>
      <c r="F347" s="46" t="s">
        <v>1043</v>
      </c>
      <c r="G347" s="46" t="s">
        <v>1043</v>
      </c>
      <c r="H347" s="46" t="s">
        <v>1043</v>
      </c>
    </row>
    <row r="348" spans="2:8">
      <c r="B348" s="46" t="s">
        <v>214</v>
      </c>
      <c r="C348" s="46" t="s">
        <v>1043</v>
      </c>
      <c r="D348" s="46" t="s">
        <v>1043</v>
      </c>
      <c r="E348" s="46" t="s">
        <v>63</v>
      </c>
      <c r="F348" s="46" t="s">
        <v>1043</v>
      </c>
      <c r="G348" s="46" t="s">
        <v>1043</v>
      </c>
      <c r="H348" s="46" t="s">
        <v>1043</v>
      </c>
    </row>
    <row r="349" spans="2:8">
      <c r="B349" s="46" t="s">
        <v>214</v>
      </c>
      <c r="C349" s="46" t="s">
        <v>1043</v>
      </c>
      <c r="D349" s="46" t="s">
        <v>1043</v>
      </c>
      <c r="E349" s="46" t="s">
        <v>61</v>
      </c>
      <c r="F349" s="46" t="s">
        <v>1043</v>
      </c>
      <c r="G349" s="46" t="s">
        <v>1043</v>
      </c>
      <c r="H349" s="46" t="s">
        <v>1043</v>
      </c>
    </row>
    <row r="350" spans="2:8">
      <c r="B350" s="46" t="s">
        <v>214</v>
      </c>
      <c r="C350" s="46" t="s">
        <v>1043</v>
      </c>
      <c r="D350" s="46" t="s">
        <v>1043</v>
      </c>
      <c r="E350" s="46" t="s">
        <v>196</v>
      </c>
      <c r="F350" s="46" t="s">
        <v>1043</v>
      </c>
      <c r="G350" s="46" t="s">
        <v>1043</v>
      </c>
      <c r="H350" s="46" t="s">
        <v>1043</v>
      </c>
    </row>
    <row r="351" spans="2:8">
      <c r="B351" s="46" t="s">
        <v>214</v>
      </c>
      <c r="C351" s="46" t="s">
        <v>1043</v>
      </c>
      <c r="D351" s="46" t="s">
        <v>1043</v>
      </c>
    </row>
    <row r="352" spans="2:8">
      <c r="B352" s="46" t="s">
        <v>215</v>
      </c>
      <c r="C352" s="46" t="s">
        <v>1043</v>
      </c>
      <c r="D352" s="46" t="s">
        <v>1043</v>
      </c>
      <c r="E352" s="46" t="s">
        <v>91</v>
      </c>
      <c r="F352" s="46" t="s">
        <v>1043</v>
      </c>
      <c r="G352" s="46" t="s">
        <v>1043</v>
      </c>
      <c r="H352" s="46" t="s">
        <v>1043</v>
      </c>
    </row>
    <row r="353" spans="2:8">
      <c r="B353" s="46" t="s">
        <v>215</v>
      </c>
      <c r="C353" s="46" t="s">
        <v>1043</v>
      </c>
      <c r="D353" s="46" t="s">
        <v>1043</v>
      </c>
      <c r="E353" s="46" t="s">
        <v>92</v>
      </c>
      <c r="F353" s="46" t="s">
        <v>1043</v>
      </c>
      <c r="G353" s="46" t="s">
        <v>1043</v>
      </c>
      <c r="H353" s="46" t="s">
        <v>1043</v>
      </c>
    </row>
    <row r="354" spans="2:8">
      <c r="B354" s="46" t="s">
        <v>215</v>
      </c>
      <c r="C354" s="46" t="s">
        <v>1043</v>
      </c>
      <c r="D354" s="46" t="s">
        <v>1043</v>
      </c>
      <c r="E354" s="46" t="s">
        <v>196</v>
      </c>
      <c r="F354" s="46" t="s">
        <v>1043</v>
      </c>
      <c r="G354" s="46" t="s">
        <v>1043</v>
      </c>
      <c r="H354" s="46" t="s">
        <v>1043</v>
      </c>
    </row>
    <row r="355" spans="2:8">
      <c r="B355" s="46" t="s">
        <v>215</v>
      </c>
      <c r="C355" s="46" t="s">
        <v>1043</v>
      </c>
      <c r="D355" s="46" t="s">
        <v>1043</v>
      </c>
    </row>
    <row r="356" spans="2:8">
      <c r="B356" s="46" t="s">
        <v>216</v>
      </c>
      <c r="C356" s="46" t="s">
        <v>1043</v>
      </c>
      <c r="D356" s="46" t="s">
        <v>1043</v>
      </c>
      <c r="E356" s="46" t="s">
        <v>196</v>
      </c>
      <c r="F356" s="46" t="s">
        <v>1043</v>
      </c>
      <c r="G356" s="46" t="s">
        <v>1043</v>
      </c>
      <c r="H356" s="46" t="s">
        <v>1043</v>
      </c>
    </row>
    <row r="357" spans="2:8">
      <c r="B357" s="46" t="s">
        <v>216</v>
      </c>
      <c r="C357" s="46" t="s">
        <v>1043</v>
      </c>
      <c r="D357" s="46" t="s">
        <v>1043</v>
      </c>
      <c r="E357" s="46" t="s">
        <v>111</v>
      </c>
      <c r="F357" s="46" t="s">
        <v>1043</v>
      </c>
      <c r="G357" s="46" t="s">
        <v>1043</v>
      </c>
      <c r="H357" s="46" t="s">
        <v>1043</v>
      </c>
    </row>
    <row r="358" spans="2:8">
      <c r="B358" s="46" t="s">
        <v>216</v>
      </c>
      <c r="C358" s="46" t="s">
        <v>1043</v>
      </c>
      <c r="D358" s="46" t="s">
        <v>1043</v>
      </c>
      <c r="E358" s="46" t="s">
        <v>116</v>
      </c>
      <c r="F358" s="46" t="s">
        <v>1043</v>
      </c>
      <c r="G358" s="46" t="s">
        <v>1043</v>
      </c>
      <c r="H358" s="46" t="s">
        <v>1043</v>
      </c>
    </row>
    <row r="359" spans="2:8">
      <c r="B359" s="46" t="s">
        <v>216</v>
      </c>
      <c r="C359" s="46" t="s">
        <v>1043</v>
      </c>
      <c r="D359" s="46" t="s">
        <v>1043</v>
      </c>
    </row>
    <row r="360" spans="2:8">
      <c r="B360" s="46" t="s">
        <v>217</v>
      </c>
      <c r="C360" s="46" t="s">
        <v>1043</v>
      </c>
      <c r="D360" s="46" t="s">
        <v>1043</v>
      </c>
      <c r="E360" s="46" t="s">
        <v>196</v>
      </c>
      <c r="F360" s="46" t="s">
        <v>1043</v>
      </c>
      <c r="G360" s="46" t="s">
        <v>1043</v>
      </c>
      <c r="H360" s="46" t="s">
        <v>1043</v>
      </c>
    </row>
    <row r="361" spans="2:8">
      <c r="B361" s="46" t="s">
        <v>217</v>
      </c>
      <c r="C361" s="46" t="s">
        <v>1043</v>
      </c>
      <c r="D361" s="46" t="s">
        <v>1043</v>
      </c>
      <c r="E361" s="46" t="s">
        <v>113</v>
      </c>
      <c r="F361" s="46" t="s">
        <v>1043</v>
      </c>
      <c r="G361" s="46" t="s">
        <v>1043</v>
      </c>
      <c r="H361" s="46" t="s">
        <v>1043</v>
      </c>
    </row>
    <row r="362" spans="2:8">
      <c r="B362" s="46" t="s">
        <v>217</v>
      </c>
      <c r="C362" s="46" t="s">
        <v>1043</v>
      </c>
      <c r="D362" s="46" t="s">
        <v>1043</v>
      </c>
      <c r="E362" s="46" t="s">
        <v>118</v>
      </c>
      <c r="F362" s="46" t="s">
        <v>1043</v>
      </c>
      <c r="G362" s="46" t="s">
        <v>1043</v>
      </c>
      <c r="H362" s="46" t="s">
        <v>1043</v>
      </c>
    </row>
    <row r="363" spans="2:8">
      <c r="B363" s="46" t="s">
        <v>217</v>
      </c>
      <c r="C363" s="46" t="s">
        <v>1043</v>
      </c>
      <c r="D363" s="46" t="s">
        <v>1043</v>
      </c>
    </row>
    <row r="364" spans="2:8">
      <c r="B364" s="46" t="s">
        <v>218</v>
      </c>
      <c r="C364" s="46" t="s">
        <v>1043</v>
      </c>
      <c r="D364" s="46" t="s">
        <v>1043</v>
      </c>
      <c r="E364" s="46" t="s">
        <v>196</v>
      </c>
      <c r="F364" s="46" t="s">
        <v>1043</v>
      </c>
      <c r="G364" s="46" t="s">
        <v>1043</v>
      </c>
      <c r="H364" s="46" t="s">
        <v>1043</v>
      </c>
    </row>
    <row r="365" spans="2:8">
      <c r="B365" s="46" t="s">
        <v>218</v>
      </c>
      <c r="C365" s="46" t="s">
        <v>1043</v>
      </c>
      <c r="D365" s="46" t="s">
        <v>1043</v>
      </c>
      <c r="E365" s="46" t="s">
        <v>112</v>
      </c>
      <c r="F365" s="46" t="s">
        <v>1043</v>
      </c>
      <c r="G365" s="46" t="s">
        <v>1043</v>
      </c>
      <c r="H365" s="46" t="s">
        <v>1043</v>
      </c>
    </row>
    <row r="366" spans="2:8">
      <c r="B366" s="46" t="s">
        <v>218</v>
      </c>
      <c r="C366" s="46" t="s">
        <v>1043</v>
      </c>
      <c r="D366" s="46" t="s">
        <v>1043</v>
      </c>
      <c r="E366" s="46" t="s">
        <v>117</v>
      </c>
      <c r="F366" s="46" t="s">
        <v>1043</v>
      </c>
      <c r="G366" s="46" t="s">
        <v>1043</v>
      </c>
      <c r="H366" s="46" t="s">
        <v>1043</v>
      </c>
    </row>
    <row r="367" spans="2:8">
      <c r="B367" s="46" t="s">
        <v>218</v>
      </c>
      <c r="C367" s="46" t="s">
        <v>1043</v>
      </c>
      <c r="D367" s="46" t="s">
        <v>1043</v>
      </c>
    </row>
    <row r="368" spans="2:8">
      <c r="B368" s="46" t="s">
        <v>219</v>
      </c>
      <c r="C368" s="46" t="s">
        <v>1043</v>
      </c>
      <c r="D368" s="46" t="s">
        <v>1043</v>
      </c>
      <c r="E368" s="46" t="s">
        <v>196</v>
      </c>
      <c r="F368" s="46" t="s">
        <v>1043</v>
      </c>
      <c r="G368" s="46" t="s">
        <v>1043</v>
      </c>
      <c r="H368" s="46" t="s">
        <v>1043</v>
      </c>
    </row>
    <row r="369" spans="2:8">
      <c r="B369" s="46" t="s">
        <v>219</v>
      </c>
      <c r="C369" s="46" t="s">
        <v>1043</v>
      </c>
      <c r="D369" s="46" t="s">
        <v>1043</v>
      </c>
      <c r="E369" s="46" t="s">
        <v>114</v>
      </c>
      <c r="F369" s="46" t="s">
        <v>1043</v>
      </c>
      <c r="G369" s="46" t="s">
        <v>1043</v>
      </c>
      <c r="H369" s="46" t="s">
        <v>1043</v>
      </c>
    </row>
    <row r="370" spans="2:8">
      <c r="B370" s="46" t="s">
        <v>219</v>
      </c>
      <c r="C370" s="46" t="s">
        <v>1043</v>
      </c>
      <c r="D370" s="46" t="s">
        <v>1043</v>
      </c>
      <c r="E370" s="46" t="s">
        <v>119</v>
      </c>
      <c r="F370" s="46" t="s">
        <v>1043</v>
      </c>
      <c r="G370" s="46" t="s">
        <v>1043</v>
      </c>
      <c r="H370" s="46" t="s">
        <v>1043</v>
      </c>
    </row>
    <row r="371" spans="2:8">
      <c r="B371" s="46" t="s">
        <v>219</v>
      </c>
      <c r="C371" s="46" t="s">
        <v>1043</v>
      </c>
      <c r="D371" s="46" t="s">
        <v>1043</v>
      </c>
    </row>
    <row r="372" spans="2:8">
      <c r="B372" s="46" t="s">
        <v>220</v>
      </c>
      <c r="C372" s="46" t="s">
        <v>1043</v>
      </c>
      <c r="D372" s="46" t="s">
        <v>1043</v>
      </c>
      <c r="E372" s="46" t="s">
        <v>131</v>
      </c>
      <c r="F372" s="46" t="s">
        <v>1043</v>
      </c>
      <c r="G372" s="46" t="s">
        <v>1043</v>
      </c>
      <c r="H372" s="46" t="s">
        <v>1043</v>
      </c>
    </row>
    <row r="373" spans="2:8">
      <c r="B373" s="46" t="s">
        <v>220</v>
      </c>
      <c r="C373" s="46" t="s">
        <v>1043</v>
      </c>
      <c r="D373" s="46" t="s">
        <v>1043</v>
      </c>
      <c r="E373" s="46" t="s">
        <v>130</v>
      </c>
      <c r="F373" s="46" t="s">
        <v>1043</v>
      </c>
      <c r="G373" s="46" t="s">
        <v>1043</v>
      </c>
      <c r="H373" s="46" t="s">
        <v>1043</v>
      </c>
    </row>
    <row r="374" spans="2:8">
      <c r="B374" s="46" t="s">
        <v>220</v>
      </c>
      <c r="C374" s="46" t="s">
        <v>1043</v>
      </c>
      <c r="D374" s="46" t="s">
        <v>1043</v>
      </c>
      <c r="E374" s="46" t="s">
        <v>129</v>
      </c>
      <c r="F374" s="46" t="s">
        <v>1043</v>
      </c>
      <c r="G374" s="46" t="s">
        <v>1043</v>
      </c>
      <c r="H374" s="46" t="s">
        <v>1043</v>
      </c>
    </row>
    <row r="375" spans="2:8">
      <c r="B375" s="46" t="s">
        <v>220</v>
      </c>
      <c r="C375" s="46" t="s">
        <v>1043</v>
      </c>
      <c r="D375" s="46" t="s">
        <v>1043</v>
      </c>
      <c r="E375" s="46" t="s">
        <v>196</v>
      </c>
      <c r="F375" s="46" t="s">
        <v>1043</v>
      </c>
      <c r="G375" s="46" t="s">
        <v>1043</v>
      </c>
      <c r="H375" s="46" t="s">
        <v>1043</v>
      </c>
    </row>
    <row r="376" spans="2:8">
      <c r="B376" s="46" t="s">
        <v>220</v>
      </c>
      <c r="C376" s="46" t="s">
        <v>1043</v>
      </c>
      <c r="D376" s="46" t="s">
        <v>1043</v>
      </c>
    </row>
    <row r="377" spans="2:8">
      <c r="B377" s="46" t="s">
        <v>221</v>
      </c>
      <c r="C377" s="46" t="s">
        <v>1043</v>
      </c>
      <c r="D377" s="46" t="s">
        <v>1043</v>
      </c>
      <c r="E377" s="46" t="s">
        <v>128</v>
      </c>
      <c r="F377" s="46" t="s">
        <v>1043</v>
      </c>
      <c r="G377" s="46" t="s">
        <v>1043</v>
      </c>
      <c r="H377" s="46" t="s">
        <v>1043</v>
      </c>
    </row>
    <row r="378" spans="2:8">
      <c r="B378" s="46" t="s">
        <v>221</v>
      </c>
      <c r="C378" s="46" t="s">
        <v>1043</v>
      </c>
      <c r="D378" s="46" t="s">
        <v>1043</v>
      </c>
      <c r="E378" s="46" t="s">
        <v>127</v>
      </c>
      <c r="F378" s="46" t="s">
        <v>1043</v>
      </c>
      <c r="G378" s="46" t="s">
        <v>1043</v>
      </c>
      <c r="H378" s="46" t="s">
        <v>1043</v>
      </c>
    </row>
    <row r="379" spans="2:8">
      <c r="B379" s="46" t="s">
        <v>221</v>
      </c>
      <c r="C379" s="46" t="s">
        <v>1043</v>
      </c>
      <c r="D379" s="46" t="s">
        <v>1043</v>
      </c>
      <c r="E379" s="46" t="s">
        <v>126</v>
      </c>
      <c r="F379" s="46" t="s">
        <v>1043</v>
      </c>
      <c r="G379" s="46" t="s">
        <v>1043</v>
      </c>
      <c r="H379" s="46" t="s">
        <v>1043</v>
      </c>
    </row>
    <row r="380" spans="2:8">
      <c r="B380" s="46" t="s">
        <v>221</v>
      </c>
      <c r="C380" s="46" t="s">
        <v>1043</v>
      </c>
      <c r="D380" s="46" t="s">
        <v>1043</v>
      </c>
      <c r="E380" s="46" t="s">
        <v>196</v>
      </c>
      <c r="F380" s="46" t="s">
        <v>1043</v>
      </c>
      <c r="G380" s="46" t="s">
        <v>1043</v>
      </c>
      <c r="H380" s="46" t="s">
        <v>1043</v>
      </c>
    </row>
    <row r="381" spans="2:8">
      <c r="B381" s="46" t="s">
        <v>221</v>
      </c>
      <c r="C381" s="46" t="s">
        <v>1043</v>
      </c>
      <c r="D381" s="46" t="s">
        <v>1043</v>
      </c>
    </row>
    <row r="382" spans="2:8">
      <c r="B382" s="46" t="s">
        <v>222</v>
      </c>
      <c r="C382" s="46" t="s">
        <v>1043</v>
      </c>
      <c r="D382" s="46" t="s">
        <v>1043</v>
      </c>
      <c r="E382" s="46" t="s">
        <v>196</v>
      </c>
      <c r="F382" s="46" t="s">
        <v>1043</v>
      </c>
      <c r="G382" s="46" t="s">
        <v>1043</v>
      </c>
      <c r="H382" s="46" t="s">
        <v>1043</v>
      </c>
    </row>
    <row r="383" spans="2:8">
      <c r="B383" s="46" t="s">
        <v>222</v>
      </c>
      <c r="C383" s="46" t="s">
        <v>1043</v>
      </c>
      <c r="D383" s="46" t="s">
        <v>1043</v>
      </c>
      <c r="E383" s="46" t="s">
        <v>148</v>
      </c>
      <c r="F383" s="46" t="s">
        <v>1043</v>
      </c>
      <c r="G383" s="46" t="s">
        <v>1043</v>
      </c>
      <c r="H383" s="46" t="s">
        <v>1043</v>
      </c>
    </row>
    <row r="384" spans="2:8">
      <c r="B384" s="46" t="s">
        <v>222</v>
      </c>
      <c r="C384" s="46" t="s">
        <v>1043</v>
      </c>
      <c r="D384" s="46" t="s">
        <v>1043</v>
      </c>
    </row>
    <row r="385" spans="2:8">
      <c r="B385" s="46" t="s">
        <v>223</v>
      </c>
      <c r="C385" s="46" t="s">
        <v>1043</v>
      </c>
      <c r="D385" s="46" t="s">
        <v>1043</v>
      </c>
      <c r="E385" s="46" t="s">
        <v>179</v>
      </c>
      <c r="F385" s="46" t="s">
        <v>1043</v>
      </c>
      <c r="G385" s="46" t="s">
        <v>1043</v>
      </c>
      <c r="H385" s="46" t="s">
        <v>1043</v>
      </c>
    </row>
    <row r="386" spans="2:8">
      <c r="B386" s="46" t="s">
        <v>223</v>
      </c>
      <c r="C386" s="46" t="s">
        <v>1043</v>
      </c>
      <c r="D386" s="46" t="s">
        <v>1043</v>
      </c>
      <c r="E386" s="46" t="s">
        <v>128</v>
      </c>
      <c r="F386" s="46" t="s">
        <v>1043</v>
      </c>
      <c r="G386" s="46" t="s">
        <v>1043</v>
      </c>
      <c r="H386" s="46" t="s">
        <v>1043</v>
      </c>
    </row>
    <row r="387" spans="2:8">
      <c r="B387" s="46" t="s">
        <v>223</v>
      </c>
      <c r="C387" s="46" t="s">
        <v>1043</v>
      </c>
      <c r="D387" s="46" t="s">
        <v>1043</v>
      </c>
    </row>
    <row r="388" spans="2:8">
      <c r="B388" s="46" t="s">
        <v>224</v>
      </c>
      <c r="C388" s="46" t="s">
        <v>1043</v>
      </c>
      <c r="D388" s="46" t="s">
        <v>1043</v>
      </c>
      <c r="E388" s="46" t="s">
        <v>181</v>
      </c>
      <c r="F388" s="46" t="s">
        <v>1043</v>
      </c>
      <c r="G388" s="46" t="s">
        <v>1043</v>
      </c>
      <c r="H388" s="46" t="s">
        <v>1043</v>
      </c>
    </row>
    <row r="389" spans="2:8">
      <c r="B389" s="46" t="s">
        <v>224</v>
      </c>
      <c r="C389" s="46" t="s">
        <v>1043</v>
      </c>
      <c r="D389" s="46" t="s">
        <v>1043</v>
      </c>
      <c r="E389" s="46" t="s">
        <v>127</v>
      </c>
      <c r="F389" s="46" t="s">
        <v>1043</v>
      </c>
      <c r="G389" s="46" t="s">
        <v>1043</v>
      </c>
      <c r="H389" s="46" t="s">
        <v>1043</v>
      </c>
    </row>
    <row r="390" spans="2:8">
      <c r="B390" s="46" t="s">
        <v>224</v>
      </c>
      <c r="C390" s="46" t="s">
        <v>1043</v>
      </c>
      <c r="D390" s="46" t="s">
        <v>1043</v>
      </c>
    </row>
    <row r="391" spans="2:8">
      <c r="B391" s="46" t="s">
        <v>225</v>
      </c>
      <c r="C391" s="46" t="s">
        <v>1043</v>
      </c>
      <c r="D391" s="46" t="s">
        <v>1043</v>
      </c>
      <c r="E391" s="46" t="s">
        <v>181</v>
      </c>
      <c r="F391" s="46" t="s">
        <v>1043</v>
      </c>
      <c r="G391" s="46" t="s">
        <v>1043</v>
      </c>
      <c r="H391" s="46" t="s">
        <v>1043</v>
      </c>
    </row>
    <row r="392" spans="2:8">
      <c r="B392" s="46" t="s">
        <v>225</v>
      </c>
      <c r="C392" s="46" t="s">
        <v>1043</v>
      </c>
      <c r="D392" s="46" t="s">
        <v>1043</v>
      </c>
      <c r="E392" s="46" t="s">
        <v>128</v>
      </c>
      <c r="F392" s="46" t="s">
        <v>1043</v>
      </c>
      <c r="G392" s="46" t="s">
        <v>1043</v>
      </c>
      <c r="H392" s="46" t="s">
        <v>1043</v>
      </c>
    </row>
    <row r="393" spans="2:8">
      <c r="B393" s="46" t="s">
        <v>225</v>
      </c>
      <c r="C393" s="46" t="s">
        <v>1043</v>
      </c>
      <c r="D393" s="46" t="s">
        <v>1043</v>
      </c>
      <c r="E393" s="46" t="s">
        <v>127</v>
      </c>
      <c r="F393" s="46" t="s">
        <v>1043</v>
      </c>
      <c r="G393" s="46" t="s">
        <v>1043</v>
      </c>
      <c r="H393" s="46" t="s">
        <v>1095</v>
      </c>
    </row>
    <row r="394" spans="2:8">
      <c r="B394" s="46" t="s">
        <v>225</v>
      </c>
      <c r="C394" s="46" t="s">
        <v>1043</v>
      </c>
      <c r="D394" s="46" t="s">
        <v>1043</v>
      </c>
      <c r="E394" s="46" t="s">
        <v>126</v>
      </c>
      <c r="F394" s="46" t="s">
        <v>1043</v>
      </c>
      <c r="G394" s="46" t="s">
        <v>1043</v>
      </c>
      <c r="H394" s="46" t="s">
        <v>1043</v>
      </c>
    </row>
    <row r="395" spans="2:8">
      <c r="B395" s="46" t="s">
        <v>225</v>
      </c>
      <c r="C395" s="46" t="s">
        <v>1043</v>
      </c>
      <c r="D395" s="46" t="s">
        <v>1043</v>
      </c>
    </row>
    <row r="396" spans="2:8">
      <c r="B396" s="46" t="s">
        <v>226</v>
      </c>
      <c r="C396" s="46" t="s">
        <v>1043</v>
      </c>
      <c r="D396" s="46" t="s">
        <v>1043</v>
      </c>
      <c r="E396" s="46" t="s">
        <v>179</v>
      </c>
      <c r="F396" s="46" t="s">
        <v>1043</v>
      </c>
      <c r="G396" s="46" t="s">
        <v>1043</v>
      </c>
      <c r="H396" s="46" t="s">
        <v>1043</v>
      </c>
    </row>
    <row r="397" spans="2:8">
      <c r="B397" s="46" t="s">
        <v>226</v>
      </c>
      <c r="C397" s="46" t="s">
        <v>1043</v>
      </c>
      <c r="D397" s="46" t="s">
        <v>1043</v>
      </c>
      <c r="E397" s="46" t="s">
        <v>131</v>
      </c>
      <c r="F397" s="46" t="s">
        <v>1043</v>
      </c>
      <c r="G397" s="46" t="s">
        <v>1043</v>
      </c>
      <c r="H397" s="46" t="s">
        <v>1043</v>
      </c>
    </row>
    <row r="398" spans="2:8">
      <c r="B398" s="46" t="s">
        <v>226</v>
      </c>
      <c r="C398" s="46" t="s">
        <v>1043</v>
      </c>
      <c r="D398" s="46" t="s">
        <v>1043</v>
      </c>
    </row>
    <row r="399" spans="2:8">
      <c r="B399" s="46" t="s">
        <v>227</v>
      </c>
      <c r="C399" s="46" t="s">
        <v>1043</v>
      </c>
      <c r="D399" s="46" t="s">
        <v>1043</v>
      </c>
      <c r="E399" s="46" t="s">
        <v>181</v>
      </c>
      <c r="F399" s="46" t="s">
        <v>1043</v>
      </c>
      <c r="G399" s="46" t="s">
        <v>1043</v>
      </c>
      <c r="H399" s="46" t="s">
        <v>1043</v>
      </c>
    </row>
    <row r="400" spans="2:8">
      <c r="B400" s="46" t="s">
        <v>227</v>
      </c>
      <c r="C400" s="46" t="s">
        <v>1043</v>
      </c>
      <c r="D400" s="46" t="s">
        <v>1043</v>
      </c>
      <c r="E400" s="46" t="s">
        <v>131</v>
      </c>
      <c r="F400" s="46" t="s">
        <v>1043</v>
      </c>
      <c r="G400" s="46" t="s">
        <v>1043</v>
      </c>
      <c r="H400" s="46" t="s">
        <v>1043</v>
      </c>
    </row>
    <row r="401" spans="2:8">
      <c r="B401" s="46" t="s">
        <v>227</v>
      </c>
      <c r="C401" s="46" t="s">
        <v>1043</v>
      </c>
      <c r="D401" s="46" t="s">
        <v>1043</v>
      </c>
      <c r="E401" s="46" t="s">
        <v>130</v>
      </c>
      <c r="F401" s="46" t="s">
        <v>1043</v>
      </c>
      <c r="G401" s="46" t="s">
        <v>1043</v>
      </c>
      <c r="H401" s="46" t="s">
        <v>1043</v>
      </c>
    </row>
    <row r="402" spans="2:8">
      <c r="B402" s="46" t="s">
        <v>227</v>
      </c>
      <c r="C402" s="46" t="s">
        <v>1043</v>
      </c>
      <c r="D402" s="46" t="s">
        <v>1043</v>
      </c>
      <c r="E402" s="46" t="s">
        <v>129</v>
      </c>
      <c r="F402" s="46" t="s">
        <v>1043</v>
      </c>
      <c r="G402" s="46" t="s">
        <v>1043</v>
      </c>
      <c r="H402" s="46" t="s">
        <v>1043</v>
      </c>
    </row>
    <row r="403" spans="2:8">
      <c r="B403" s="46" t="s">
        <v>227</v>
      </c>
      <c r="C403" s="46" t="s">
        <v>1043</v>
      </c>
      <c r="D403" s="46" t="s">
        <v>1043</v>
      </c>
    </row>
    <row r="404" spans="2:8">
      <c r="B404" s="46" t="s">
        <v>228</v>
      </c>
      <c r="C404" s="46" t="s">
        <v>1043</v>
      </c>
      <c r="D404" s="46" t="s">
        <v>1043</v>
      </c>
      <c r="E404" s="46" t="s">
        <v>181</v>
      </c>
      <c r="F404" s="46" t="s">
        <v>1043</v>
      </c>
      <c r="G404" s="46" t="s">
        <v>1043</v>
      </c>
      <c r="H404" s="46" t="s">
        <v>1043</v>
      </c>
    </row>
    <row r="405" spans="2:8">
      <c r="B405" s="46" t="s">
        <v>228</v>
      </c>
      <c r="C405" s="46" t="s">
        <v>1043</v>
      </c>
      <c r="D405" s="46" t="s">
        <v>1043</v>
      </c>
      <c r="E405" s="46" t="s">
        <v>151</v>
      </c>
      <c r="F405" s="46" t="s">
        <v>1043</v>
      </c>
      <c r="G405" s="46" t="s">
        <v>1043</v>
      </c>
      <c r="H405" s="46" t="s">
        <v>1043</v>
      </c>
    </row>
    <row r="406" spans="2:8">
      <c r="B406" s="46" t="s">
        <v>228</v>
      </c>
      <c r="C406" s="46" t="s">
        <v>1043</v>
      </c>
      <c r="D406" s="46" t="s">
        <v>1043</v>
      </c>
    </row>
    <row r="407" spans="2:8">
      <c r="B407" s="46" t="s">
        <v>229</v>
      </c>
      <c r="C407" s="46" t="s">
        <v>1043</v>
      </c>
      <c r="D407" s="46" t="s">
        <v>1043</v>
      </c>
      <c r="E407" s="46" t="s">
        <v>181</v>
      </c>
      <c r="F407" s="46" t="s">
        <v>1043</v>
      </c>
      <c r="G407" s="46" t="s">
        <v>1043</v>
      </c>
      <c r="H407" s="46" t="s">
        <v>1043</v>
      </c>
    </row>
    <row r="408" spans="2:8">
      <c r="B408" s="46" t="s">
        <v>229</v>
      </c>
      <c r="C408" s="46" t="s">
        <v>1043</v>
      </c>
      <c r="D408" s="46" t="s">
        <v>1043</v>
      </c>
      <c r="E408" s="46" t="s">
        <v>149</v>
      </c>
      <c r="F408" s="46" t="s">
        <v>1043</v>
      </c>
      <c r="G408" s="46" t="s">
        <v>1043</v>
      </c>
      <c r="H408" s="46" t="s">
        <v>1043</v>
      </c>
    </row>
    <row r="409" spans="2:8">
      <c r="B409" s="46" t="s">
        <v>229</v>
      </c>
      <c r="C409" s="46" t="s">
        <v>1043</v>
      </c>
      <c r="D409" s="46" t="s">
        <v>1043</v>
      </c>
      <c r="E409" s="46" t="s">
        <v>151</v>
      </c>
      <c r="F409" s="46" t="s">
        <v>1043</v>
      </c>
      <c r="G409" s="46" t="s">
        <v>1043</v>
      </c>
      <c r="H409" s="46" t="s">
        <v>1043</v>
      </c>
    </row>
    <row r="410" spans="2:8">
      <c r="B410" s="46" t="s">
        <v>229</v>
      </c>
      <c r="C410" s="46" t="s">
        <v>1043</v>
      </c>
      <c r="D410" s="46" t="s">
        <v>1043</v>
      </c>
    </row>
    <row r="411" spans="2:8">
      <c r="B411" s="46" t="s">
        <v>230</v>
      </c>
      <c r="C411" s="46" t="s">
        <v>1043</v>
      </c>
      <c r="D411" s="46" t="s">
        <v>1043</v>
      </c>
      <c r="E411" s="46" t="s">
        <v>181</v>
      </c>
      <c r="F411" s="46" t="s">
        <v>1043</v>
      </c>
      <c r="G411" s="46" t="s">
        <v>1043</v>
      </c>
      <c r="H411" s="46" t="s">
        <v>1043</v>
      </c>
    </row>
    <row r="412" spans="2:8">
      <c r="B412" s="46" t="s">
        <v>230</v>
      </c>
      <c r="C412" s="46" t="s">
        <v>1043</v>
      </c>
      <c r="D412" s="46" t="s">
        <v>1043</v>
      </c>
      <c r="E412" s="46" t="s">
        <v>149</v>
      </c>
      <c r="F412" s="46" t="s">
        <v>1043</v>
      </c>
      <c r="G412" s="46" t="s">
        <v>1043</v>
      </c>
      <c r="H412" s="46" t="s">
        <v>1043</v>
      </c>
    </row>
    <row r="413" spans="2:8">
      <c r="B413" s="46" t="s">
        <v>230</v>
      </c>
      <c r="C413" s="46" t="s">
        <v>1043</v>
      </c>
      <c r="D413" s="46" t="s">
        <v>1043</v>
      </c>
    </row>
    <row r="414" spans="2:8">
      <c r="B414" s="46" t="s">
        <v>231</v>
      </c>
      <c r="C414" s="46" t="s">
        <v>1043</v>
      </c>
      <c r="D414" s="46" t="s">
        <v>1043</v>
      </c>
      <c r="E414" s="46" t="s">
        <v>181</v>
      </c>
      <c r="F414" s="46" t="s">
        <v>1043</v>
      </c>
      <c r="G414" s="46" t="s">
        <v>1043</v>
      </c>
      <c r="H414" s="46" t="s">
        <v>1043</v>
      </c>
    </row>
    <row r="415" spans="2:8">
      <c r="B415" s="46" t="s">
        <v>231</v>
      </c>
      <c r="C415" s="46" t="s">
        <v>1043</v>
      </c>
      <c r="D415" s="46" t="s">
        <v>1043</v>
      </c>
      <c r="E415" s="46" t="s">
        <v>155</v>
      </c>
      <c r="F415" s="46" t="s">
        <v>1043</v>
      </c>
      <c r="G415" s="46" t="s">
        <v>1043</v>
      </c>
      <c r="H415" s="46" t="s">
        <v>1043</v>
      </c>
    </row>
    <row r="416" spans="2:8">
      <c r="B416" s="46" t="s">
        <v>231</v>
      </c>
      <c r="C416" s="46" t="s">
        <v>1043</v>
      </c>
      <c r="D416" s="46" t="s">
        <v>1043</v>
      </c>
    </row>
    <row r="417" spans="2:8">
      <c r="B417" s="46" t="s">
        <v>232</v>
      </c>
      <c r="C417" s="46" t="s">
        <v>1043</v>
      </c>
      <c r="D417" s="46" t="s">
        <v>1043</v>
      </c>
      <c r="E417" s="46" t="s">
        <v>181</v>
      </c>
      <c r="F417" s="46" t="s">
        <v>1043</v>
      </c>
      <c r="G417" s="46" t="s">
        <v>1043</v>
      </c>
      <c r="H417" s="46" t="s">
        <v>1043</v>
      </c>
    </row>
    <row r="418" spans="2:8">
      <c r="B418" s="46" t="s">
        <v>232</v>
      </c>
      <c r="C418" s="46" t="s">
        <v>1043</v>
      </c>
      <c r="D418" s="46" t="s">
        <v>1043</v>
      </c>
      <c r="E418" s="46" t="s">
        <v>153</v>
      </c>
      <c r="F418" s="46" t="s">
        <v>1043</v>
      </c>
      <c r="G418" s="46" t="s">
        <v>1043</v>
      </c>
      <c r="H418" s="46" t="s">
        <v>1043</v>
      </c>
    </row>
    <row r="419" spans="2:8">
      <c r="B419" s="46" t="s">
        <v>232</v>
      </c>
      <c r="C419" s="46" t="s">
        <v>1043</v>
      </c>
      <c r="D419" s="46" t="s">
        <v>1043</v>
      </c>
      <c r="E419" s="46" t="s">
        <v>155</v>
      </c>
      <c r="F419" s="46" t="s">
        <v>1043</v>
      </c>
      <c r="G419" s="46" t="s">
        <v>1043</v>
      </c>
      <c r="H419" s="46" t="s">
        <v>1043</v>
      </c>
    </row>
    <row r="420" spans="2:8">
      <c r="B420" s="46" t="s">
        <v>232</v>
      </c>
      <c r="C420" s="46" t="s">
        <v>1043</v>
      </c>
      <c r="D420" s="46" t="s">
        <v>1043</v>
      </c>
    </row>
    <row r="421" spans="2:8">
      <c r="B421" s="46" t="s">
        <v>233</v>
      </c>
      <c r="C421" s="46" t="s">
        <v>1043</v>
      </c>
      <c r="D421" s="46" t="s">
        <v>1043</v>
      </c>
      <c r="E421" s="46" t="s">
        <v>181</v>
      </c>
      <c r="F421" s="46" t="s">
        <v>1043</v>
      </c>
      <c r="G421" s="46" t="s">
        <v>1043</v>
      </c>
      <c r="H421" s="46" t="s">
        <v>1043</v>
      </c>
    </row>
    <row r="422" spans="2:8">
      <c r="B422" s="46" t="s">
        <v>233</v>
      </c>
      <c r="C422" s="46" t="s">
        <v>1043</v>
      </c>
      <c r="D422" s="46" t="s">
        <v>1043</v>
      </c>
      <c r="E422" s="46" t="s">
        <v>153</v>
      </c>
      <c r="F422" s="46" t="s">
        <v>1043</v>
      </c>
      <c r="G422" s="46" t="s">
        <v>1043</v>
      </c>
      <c r="H422" s="46" t="s">
        <v>1043</v>
      </c>
    </row>
    <row r="423" spans="2:8">
      <c r="B423" s="46" t="s">
        <v>233</v>
      </c>
      <c r="C423" s="46" t="s">
        <v>1043</v>
      </c>
      <c r="D423" s="46" t="s">
        <v>1043</v>
      </c>
    </row>
    <row r="424" spans="2:8">
      <c r="B424" s="46" t="s">
        <v>234</v>
      </c>
      <c r="C424" s="46" t="s">
        <v>1043</v>
      </c>
      <c r="D424" s="46" t="s">
        <v>1043</v>
      </c>
      <c r="E424" s="46" t="s">
        <v>181</v>
      </c>
      <c r="F424" s="46" t="s">
        <v>1043</v>
      </c>
      <c r="G424" s="46" t="s">
        <v>1043</v>
      </c>
      <c r="H424" s="46" t="s">
        <v>1043</v>
      </c>
    </row>
    <row r="425" spans="2:8">
      <c r="B425" s="46" t="s">
        <v>234</v>
      </c>
      <c r="C425" s="46" t="s">
        <v>1043</v>
      </c>
      <c r="D425" s="46" t="s">
        <v>1043</v>
      </c>
      <c r="E425" s="46" t="s">
        <v>159</v>
      </c>
      <c r="F425" s="46" t="s">
        <v>1043</v>
      </c>
      <c r="G425" s="46" t="s">
        <v>1043</v>
      </c>
      <c r="H425" s="46" t="s">
        <v>1043</v>
      </c>
    </row>
    <row r="426" spans="2:8">
      <c r="B426" s="46" t="s">
        <v>234</v>
      </c>
      <c r="C426" s="46" t="s">
        <v>1043</v>
      </c>
      <c r="D426" s="46" t="s">
        <v>1043</v>
      </c>
    </row>
    <row r="427" spans="2:8">
      <c r="B427" s="46" t="s">
        <v>235</v>
      </c>
      <c r="C427" s="46" t="s">
        <v>1043</v>
      </c>
      <c r="D427" s="46" t="s">
        <v>1043</v>
      </c>
      <c r="E427" s="46" t="s">
        <v>181</v>
      </c>
      <c r="F427" s="46" t="s">
        <v>1043</v>
      </c>
      <c r="G427" s="46" t="s">
        <v>1043</v>
      </c>
      <c r="H427" s="46" t="s">
        <v>1043</v>
      </c>
    </row>
    <row r="428" spans="2:8">
      <c r="B428" s="46" t="s">
        <v>235</v>
      </c>
      <c r="C428" s="46" t="s">
        <v>1043</v>
      </c>
      <c r="D428" s="46" t="s">
        <v>1043</v>
      </c>
      <c r="E428" s="46" t="s">
        <v>157</v>
      </c>
      <c r="F428" s="46" t="s">
        <v>1043</v>
      </c>
      <c r="G428" s="46" t="s">
        <v>1043</v>
      </c>
      <c r="H428" s="46" t="s">
        <v>1043</v>
      </c>
    </row>
    <row r="429" spans="2:8">
      <c r="B429" s="46" t="s">
        <v>235</v>
      </c>
      <c r="C429" s="46" t="s">
        <v>1043</v>
      </c>
      <c r="D429" s="46" t="s">
        <v>1043</v>
      </c>
      <c r="E429" s="46" t="s">
        <v>159</v>
      </c>
      <c r="F429" s="46" t="s">
        <v>1043</v>
      </c>
      <c r="G429" s="46" t="s">
        <v>1043</v>
      </c>
      <c r="H429" s="46" t="s">
        <v>1043</v>
      </c>
    </row>
    <row r="430" spans="2:8">
      <c r="B430" s="46" t="s">
        <v>235</v>
      </c>
      <c r="C430" s="46" t="s">
        <v>1043</v>
      </c>
      <c r="D430" s="46" t="s">
        <v>1043</v>
      </c>
    </row>
    <row r="431" spans="2:8">
      <c r="B431" s="46" t="s">
        <v>236</v>
      </c>
      <c r="C431" s="46" t="s">
        <v>1043</v>
      </c>
      <c r="D431" s="46" t="s">
        <v>1043</v>
      </c>
      <c r="E431" s="46" t="s">
        <v>181</v>
      </c>
      <c r="F431" s="46" t="s">
        <v>1043</v>
      </c>
      <c r="G431" s="46" t="s">
        <v>1043</v>
      </c>
      <c r="H431" s="46" t="s">
        <v>1043</v>
      </c>
    </row>
    <row r="432" spans="2:8">
      <c r="B432" s="46" t="s">
        <v>236</v>
      </c>
      <c r="C432" s="46" t="s">
        <v>1043</v>
      </c>
      <c r="D432" s="46" t="s">
        <v>1043</v>
      </c>
      <c r="E432" s="46" t="s">
        <v>157</v>
      </c>
      <c r="F432" s="46" t="s">
        <v>1043</v>
      </c>
      <c r="G432" s="46" t="s">
        <v>1043</v>
      </c>
      <c r="H432" s="46" t="s">
        <v>1043</v>
      </c>
    </row>
    <row r="433" spans="2:8">
      <c r="B433" s="46" t="s">
        <v>236</v>
      </c>
      <c r="C433" s="46" t="s">
        <v>1043</v>
      </c>
      <c r="D433" s="46" t="s">
        <v>1043</v>
      </c>
    </row>
    <row r="434" spans="2:8">
      <c r="B434" s="46" t="s">
        <v>237</v>
      </c>
      <c r="C434" s="46" t="s">
        <v>1043</v>
      </c>
      <c r="D434" s="46" t="s">
        <v>1043</v>
      </c>
      <c r="E434" s="46" t="s">
        <v>179</v>
      </c>
      <c r="F434" s="46" t="s">
        <v>1043</v>
      </c>
      <c r="G434" s="46" t="s">
        <v>1043</v>
      </c>
      <c r="H434" s="46" t="s">
        <v>1043</v>
      </c>
    </row>
    <row r="435" spans="2:8">
      <c r="B435" s="46" t="s">
        <v>237</v>
      </c>
      <c r="C435" s="46" t="s">
        <v>1043</v>
      </c>
      <c r="D435" s="46" t="s">
        <v>1043</v>
      </c>
      <c r="E435" s="46" t="s">
        <v>148</v>
      </c>
      <c r="F435" s="46" t="s">
        <v>1043</v>
      </c>
      <c r="G435" s="46" t="s">
        <v>1043</v>
      </c>
      <c r="H435" s="46" t="s">
        <v>1043</v>
      </c>
    </row>
    <row r="436" spans="2:8">
      <c r="B436" s="46" t="s">
        <v>237</v>
      </c>
      <c r="C436" s="46" t="s">
        <v>1043</v>
      </c>
      <c r="D436" s="46" t="s">
        <v>1043</v>
      </c>
    </row>
    <row r="437" spans="2:8">
      <c r="B437" s="46" t="s">
        <v>238</v>
      </c>
      <c r="C437" s="46" t="s">
        <v>1043</v>
      </c>
      <c r="D437" s="46" t="s">
        <v>1043</v>
      </c>
      <c r="E437" s="46" t="s">
        <v>93</v>
      </c>
      <c r="F437" s="46" t="s">
        <v>1043</v>
      </c>
      <c r="G437" s="46" t="s">
        <v>1043</v>
      </c>
      <c r="H437" s="46" t="s">
        <v>1043</v>
      </c>
    </row>
    <row r="438" spans="2:8">
      <c r="B438" s="46" t="s">
        <v>238</v>
      </c>
      <c r="C438" s="46" t="s">
        <v>1043</v>
      </c>
      <c r="D438" s="46" t="s">
        <v>1043</v>
      </c>
      <c r="E438" s="46" t="s">
        <v>94</v>
      </c>
      <c r="F438" s="46" t="s">
        <v>1043</v>
      </c>
      <c r="G438" s="46" t="s">
        <v>1043</v>
      </c>
      <c r="H438" s="46" t="s">
        <v>1043</v>
      </c>
    </row>
    <row r="439" spans="2:8">
      <c r="B439" s="46" t="s">
        <v>238</v>
      </c>
      <c r="C439" s="46" t="s">
        <v>1043</v>
      </c>
      <c r="D439" s="46" t="s">
        <v>1043</v>
      </c>
      <c r="E439" s="46" t="s">
        <v>196</v>
      </c>
      <c r="F439" s="46" t="s">
        <v>1043</v>
      </c>
      <c r="G439" s="46" t="s">
        <v>1043</v>
      </c>
      <c r="H439" s="46" t="s">
        <v>1043</v>
      </c>
    </row>
    <row r="440" spans="2:8">
      <c r="B440" s="46" t="s">
        <v>238</v>
      </c>
      <c r="C440" s="46" t="s">
        <v>1043</v>
      </c>
      <c r="D440" s="46" t="s">
        <v>1043</v>
      </c>
    </row>
    <row r="441" spans="2:8">
      <c r="B441" s="46" t="s">
        <v>239</v>
      </c>
      <c r="C441" s="46" t="s">
        <v>1043</v>
      </c>
      <c r="D441" s="46" t="s">
        <v>1043</v>
      </c>
      <c r="E441" s="46" t="s">
        <v>181</v>
      </c>
      <c r="F441" s="46" t="s">
        <v>1043</v>
      </c>
      <c r="G441" s="46" t="s">
        <v>1043</v>
      </c>
      <c r="H441" s="46" t="s">
        <v>1043</v>
      </c>
    </row>
    <row r="442" spans="2:8">
      <c r="B442" s="46" t="s">
        <v>239</v>
      </c>
      <c r="C442" s="46" t="s">
        <v>1043</v>
      </c>
      <c r="D442" s="46" t="s">
        <v>1043</v>
      </c>
      <c r="E442" s="46" t="s">
        <v>93</v>
      </c>
      <c r="F442" s="46" t="s">
        <v>1043</v>
      </c>
      <c r="G442" s="46" t="s">
        <v>1043</v>
      </c>
      <c r="H442" s="46" t="s">
        <v>1043</v>
      </c>
    </row>
    <row r="443" spans="2:8">
      <c r="B443" s="46" t="s">
        <v>239</v>
      </c>
      <c r="C443" s="46" t="s">
        <v>1043</v>
      </c>
      <c r="D443" s="46" t="s">
        <v>1043</v>
      </c>
      <c r="E443" s="46" t="s">
        <v>94</v>
      </c>
      <c r="F443" s="46" t="s">
        <v>1043</v>
      </c>
      <c r="G443" s="46" t="s">
        <v>1043</v>
      </c>
      <c r="H443" s="46" t="s">
        <v>1043</v>
      </c>
    </row>
    <row r="444" spans="2:8">
      <c r="B444" s="46" t="s">
        <v>239</v>
      </c>
      <c r="C444" s="46" t="s">
        <v>1043</v>
      </c>
      <c r="D444" s="46" t="s">
        <v>1043</v>
      </c>
    </row>
    <row r="445" spans="2:8">
      <c r="B445" s="46" t="s">
        <v>240</v>
      </c>
      <c r="C445" s="46" t="s">
        <v>1043</v>
      </c>
      <c r="D445" s="46" t="s">
        <v>1043</v>
      </c>
      <c r="E445" s="46" t="s">
        <v>181</v>
      </c>
      <c r="F445" s="46" t="s">
        <v>1043</v>
      </c>
      <c r="G445" s="46" t="s">
        <v>1043</v>
      </c>
      <c r="H445" s="46" t="s">
        <v>1043</v>
      </c>
    </row>
    <row r="446" spans="2:8">
      <c r="B446" s="46" t="s">
        <v>240</v>
      </c>
      <c r="C446" s="46" t="s">
        <v>1043</v>
      </c>
      <c r="D446" s="46" t="s">
        <v>1043</v>
      </c>
      <c r="E446" s="46" t="s">
        <v>91</v>
      </c>
      <c r="F446" s="46" t="s">
        <v>1043</v>
      </c>
      <c r="G446" s="46" t="s">
        <v>1043</v>
      </c>
      <c r="H446" s="46" t="s">
        <v>1043</v>
      </c>
    </row>
    <row r="447" spans="2:8">
      <c r="B447" s="46" t="s">
        <v>240</v>
      </c>
      <c r="C447" s="46" t="s">
        <v>1043</v>
      </c>
      <c r="D447" s="46" t="s">
        <v>1043</v>
      </c>
      <c r="E447" s="46" t="s">
        <v>92</v>
      </c>
      <c r="F447" s="46" t="s">
        <v>1043</v>
      </c>
      <c r="G447" s="46" t="s">
        <v>1043</v>
      </c>
      <c r="H447" s="46" t="s">
        <v>1043</v>
      </c>
    </row>
    <row r="448" spans="2:8">
      <c r="B448" s="46" t="s">
        <v>240</v>
      </c>
      <c r="C448" s="46" t="s">
        <v>1043</v>
      </c>
      <c r="D448" s="46" t="s">
        <v>1043</v>
      </c>
    </row>
    <row r="449" spans="2:8">
      <c r="B449" s="46" t="s">
        <v>241</v>
      </c>
      <c r="C449" s="46" t="s">
        <v>1043</v>
      </c>
      <c r="D449" s="46" t="s">
        <v>1043</v>
      </c>
      <c r="E449" s="46" t="s">
        <v>181</v>
      </c>
      <c r="F449" s="46" t="s">
        <v>1043</v>
      </c>
      <c r="G449" s="46" t="s">
        <v>1043</v>
      </c>
      <c r="H449" s="46" t="s">
        <v>1043</v>
      </c>
    </row>
    <row r="450" spans="2:8">
      <c r="B450" s="46" t="s">
        <v>241</v>
      </c>
      <c r="C450" s="46" t="s">
        <v>1043</v>
      </c>
      <c r="D450" s="46" t="s">
        <v>1043</v>
      </c>
      <c r="E450" s="46" t="s">
        <v>101</v>
      </c>
      <c r="F450" s="46" t="s">
        <v>1043</v>
      </c>
      <c r="G450" s="46" t="s">
        <v>1043</v>
      </c>
      <c r="H450" s="46" t="s">
        <v>1043</v>
      </c>
    </row>
    <row r="451" spans="2:8">
      <c r="B451" s="46" t="s">
        <v>241</v>
      </c>
      <c r="C451" s="46" t="s">
        <v>1043</v>
      </c>
      <c r="D451" s="46" t="s">
        <v>1043</v>
      </c>
    </row>
    <row r="452" spans="2:8">
      <c r="B452" s="46" t="s">
        <v>242</v>
      </c>
      <c r="C452" s="46" t="s">
        <v>1043</v>
      </c>
      <c r="D452" s="46" t="s">
        <v>1043</v>
      </c>
      <c r="E452" s="46" t="s">
        <v>181</v>
      </c>
      <c r="F452" s="46" t="s">
        <v>1043</v>
      </c>
      <c r="G452" s="46" t="s">
        <v>1043</v>
      </c>
      <c r="H452" s="46" t="s">
        <v>1043</v>
      </c>
    </row>
    <row r="453" spans="2:8">
      <c r="B453" s="46" t="s">
        <v>242</v>
      </c>
      <c r="C453" s="46" t="s">
        <v>1043</v>
      </c>
      <c r="D453" s="46" t="s">
        <v>1043</v>
      </c>
      <c r="E453" s="46" t="s">
        <v>104</v>
      </c>
      <c r="F453" s="46" t="s">
        <v>1043</v>
      </c>
      <c r="G453" s="46" t="s">
        <v>1043</v>
      </c>
      <c r="H453" s="46" t="s">
        <v>1043</v>
      </c>
    </row>
    <row r="454" spans="2:8">
      <c r="B454" s="46" t="s">
        <v>242</v>
      </c>
      <c r="C454" s="46" t="s">
        <v>1043</v>
      </c>
      <c r="D454" s="46" t="s">
        <v>1043</v>
      </c>
    </row>
    <row r="455" spans="2:8">
      <c r="B455" s="46" t="s">
        <v>243</v>
      </c>
      <c r="C455" s="46" t="s">
        <v>1043</v>
      </c>
      <c r="D455" s="46" t="s">
        <v>1043</v>
      </c>
      <c r="E455" s="46" t="s">
        <v>181</v>
      </c>
      <c r="F455" s="46" t="s">
        <v>1043</v>
      </c>
      <c r="G455" s="46" t="s">
        <v>1043</v>
      </c>
      <c r="H455" s="46" t="s">
        <v>1043</v>
      </c>
    </row>
    <row r="456" spans="2:8">
      <c r="B456" s="46" t="s">
        <v>243</v>
      </c>
      <c r="C456" s="46" t="s">
        <v>1043</v>
      </c>
      <c r="D456" s="46" t="s">
        <v>1043</v>
      </c>
      <c r="E456" s="46" t="s">
        <v>103</v>
      </c>
      <c r="F456" s="46" t="s">
        <v>1043</v>
      </c>
      <c r="G456" s="46" t="s">
        <v>1043</v>
      </c>
      <c r="H456" s="46" t="s">
        <v>1043</v>
      </c>
    </row>
    <row r="457" spans="2:8">
      <c r="B457" s="46" t="s">
        <v>243</v>
      </c>
      <c r="C457" s="46" t="s">
        <v>1043</v>
      </c>
      <c r="D457" s="46" t="s">
        <v>1043</v>
      </c>
    </row>
    <row r="458" spans="2:8">
      <c r="B458" s="46" t="s">
        <v>244</v>
      </c>
      <c r="C458" s="46" t="s">
        <v>1043</v>
      </c>
      <c r="D458" s="46" t="s">
        <v>1043</v>
      </c>
      <c r="E458" s="46" t="s">
        <v>181</v>
      </c>
      <c r="F458" s="46" t="s">
        <v>1043</v>
      </c>
      <c r="G458" s="46" t="s">
        <v>1043</v>
      </c>
      <c r="H458" s="46" t="s">
        <v>1043</v>
      </c>
    </row>
    <row r="459" spans="2:8">
      <c r="B459" s="46" t="s">
        <v>244</v>
      </c>
      <c r="C459" s="46" t="s">
        <v>1043</v>
      </c>
      <c r="D459" s="46" t="s">
        <v>1043</v>
      </c>
      <c r="E459" s="46" t="s">
        <v>105</v>
      </c>
      <c r="F459" s="46" t="s">
        <v>1043</v>
      </c>
      <c r="G459" s="46" t="s">
        <v>1043</v>
      </c>
      <c r="H459" s="46" t="s">
        <v>1043</v>
      </c>
    </row>
    <row r="460" spans="2:8">
      <c r="B460" s="46" t="s">
        <v>244</v>
      </c>
      <c r="C460" s="46" t="s">
        <v>1043</v>
      </c>
      <c r="D460" s="46" t="s">
        <v>1043</v>
      </c>
    </row>
    <row r="461" spans="2:8">
      <c r="B461" s="46" t="s">
        <v>245</v>
      </c>
      <c r="C461" s="46" t="s">
        <v>1043</v>
      </c>
      <c r="D461" s="46" t="s">
        <v>1043</v>
      </c>
      <c r="E461" s="46" t="s">
        <v>181</v>
      </c>
      <c r="F461" s="46" t="s">
        <v>1043</v>
      </c>
      <c r="G461" s="46" t="s">
        <v>1043</v>
      </c>
      <c r="H461" s="46" t="s">
        <v>1043</v>
      </c>
    </row>
    <row r="462" spans="2:8">
      <c r="B462" s="46" t="s">
        <v>245</v>
      </c>
      <c r="C462" s="46" t="s">
        <v>1043</v>
      </c>
      <c r="D462" s="46" t="s">
        <v>1043</v>
      </c>
      <c r="E462" s="46" t="s">
        <v>102</v>
      </c>
      <c r="F462" s="46" t="s">
        <v>1043</v>
      </c>
      <c r="G462" s="46" t="s">
        <v>1043</v>
      </c>
      <c r="H462" s="46" t="s">
        <v>1043</v>
      </c>
    </row>
    <row r="463" spans="2:8">
      <c r="B463" s="46" t="s">
        <v>245</v>
      </c>
      <c r="C463" s="46" t="s">
        <v>1043</v>
      </c>
      <c r="D463" s="46" t="s">
        <v>1043</v>
      </c>
      <c r="E463" s="46" t="s">
        <v>104</v>
      </c>
      <c r="F463" s="46" t="s">
        <v>1043</v>
      </c>
      <c r="G463" s="46" t="s">
        <v>1043</v>
      </c>
      <c r="H463" s="46" t="s">
        <v>1043</v>
      </c>
    </row>
    <row r="464" spans="2:8">
      <c r="B464" s="46" t="s">
        <v>245</v>
      </c>
      <c r="C464" s="46" t="s">
        <v>1043</v>
      </c>
      <c r="D464" s="46" t="s">
        <v>1043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02768A-DD85-4CE7-906A-FF9299245EAE}">
  <dimension ref="A1:O136"/>
  <sheetViews>
    <sheetView workbookViewId="0"/>
  </sheetViews>
  <sheetFormatPr baseColWidth="10" defaultColWidth="9.140625" defaultRowHeight="15"/>
  <sheetData>
    <row r="1" spans="1:15">
      <c r="A1" s="46" t="s">
        <v>2369</v>
      </c>
      <c r="B1" s="46" t="s">
        <v>0</v>
      </c>
      <c r="C1" s="46" t="s">
        <v>0</v>
      </c>
      <c r="D1" s="46" t="s">
        <v>0</v>
      </c>
      <c r="E1" s="46" t="s">
        <v>0</v>
      </c>
      <c r="F1" s="46" t="s">
        <v>0</v>
      </c>
      <c r="G1" s="46" t="s">
        <v>0</v>
      </c>
      <c r="H1" s="46" t="s">
        <v>0</v>
      </c>
      <c r="I1" s="46" t="s">
        <v>0</v>
      </c>
      <c r="J1" s="46" t="s">
        <v>0</v>
      </c>
      <c r="K1" s="46" t="s">
        <v>0</v>
      </c>
      <c r="L1" s="46" t="s">
        <v>0</v>
      </c>
      <c r="M1" s="46" t="s">
        <v>0</v>
      </c>
      <c r="N1" s="46" t="s">
        <v>0</v>
      </c>
      <c r="O1" s="46" t="s">
        <v>0</v>
      </c>
    </row>
    <row r="3" spans="1:15">
      <c r="B3" s="46" t="s">
        <v>373</v>
      </c>
    </row>
    <row r="5" spans="1:15">
      <c r="I5" s="46" t="s">
        <v>2</v>
      </c>
    </row>
    <row r="6" spans="1:15">
      <c r="B6" s="46" t="s">
        <v>3</v>
      </c>
      <c r="C6" s="46" t="s">
        <v>4</v>
      </c>
      <c r="D6" s="46" t="s">
        <v>1040</v>
      </c>
      <c r="E6" s="46" t="s">
        <v>5</v>
      </c>
      <c r="G6" s="46" t="s">
        <v>1041</v>
      </c>
      <c r="H6" s="46" t="s">
        <v>6</v>
      </c>
      <c r="I6" s="46" t="s">
        <v>7</v>
      </c>
      <c r="J6" s="46" t="s">
        <v>8</v>
      </c>
      <c r="K6" s="46" t="s">
        <v>9</v>
      </c>
      <c r="L6" s="46" t="s">
        <v>10</v>
      </c>
      <c r="M6" s="46" t="s">
        <v>11</v>
      </c>
      <c r="N6" s="46" t="s">
        <v>12</v>
      </c>
      <c r="O6" s="46" t="s">
        <v>13</v>
      </c>
    </row>
    <row r="7" spans="1:15">
      <c r="B7" s="46" t="s">
        <v>372</v>
      </c>
      <c r="C7" s="46" t="s">
        <v>6063</v>
      </c>
      <c r="D7" s="46" t="s">
        <v>2372</v>
      </c>
      <c r="E7" s="46" t="s">
        <v>371</v>
      </c>
      <c r="F7" s="46" t="s">
        <v>6064</v>
      </c>
      <c r="G7" s="46" t="s">
        <v>6065</v>
      </c>
      <c r="H7" s="46" t="s">
        <v>1095</v>
      </c>
      <c r="I7" s="46" t="s">
        <v>2242</v>
      </c>
      <c r="J7" s="46" t="s">
        <v>2243</v>
      </c>
      <c r="K7" s="46" t="s">
        <v>2244</v>
      </c>
      <c r="L7" s="46" t="s">
        <v>2245</v>
      </c>
      <c r="M7" s="46" t="s">
        <v>2246</v>
      </c>
      <c r="N7" s="46" t="s">
        <v>2247</v>
      </c>
      <c r="O7" s="46" t="s">
        <v>2248</v>
      </c>
    </row>
    <row r="8" spans="1:15">
      <c r="B8" s="46" t="s">
        <v>372</v>
      </c>
      <c r="C8" s="46" t="s">
        <v>4637</v>
      </c>
      <c r="D8" s="46" t="s">
        <v>2382</v>
      </c>
      <c r="E8" s="46" t="s">
        <v>254</v>
      </c>
      <c r="F8" s="46" t="s">
        <v>4638</v>
      </c>
      <c r="G8" s="46" t="s">
        <v>4639</v>
      </c>
      <c r="H8" s="46" t="s">
        <v>1095</v>
      </c>
      <c r="I8" s="46" t="s">
        <v>1045</v>
      </c>
      <c r="J8" s="46" t="s">
        <v>1046</v>
      </c>
      <c r="K8" s="46" t="s">
        <v>1047</v>
      </c>
      <c r="L8" s="46" t="s">
        <v>1048</v>
      </c>
      <c r="M8" s="46" t="s">
        <v>1049</v>
      </c>
      <c r="N8" s="46" t="s">
        <v>1050</v>
      </c>
      <c r="O8" s="46" t="s">
        <v>1051</v>
      </c>
    </row>
    <row r="9" spans="1:15">
      <c r="B9" s="46" t="s">
        <v>372</v>
      </c>
      <c r="C9" s="46" t="s">
        <v>4640</v>
      </c>
      <c r="D9" s="46" t="s">
        <v>2392</v>
      </c>
      <c r="O9" s="46" t="s">
        <v>1059</v>
      </c>
    </row>
    <row r="10" spans="1:15">
      <c r="B10" s="46" t="s">
        <v>370</v>
      </c>
      <c r="C10" s="46" t="s">
        <v>4643</v>
      </c>
      <c r="D10" s="46" t="s">
        <v>2402</v>
      </c>
      <c r="E10" s="46" t="s">
        <v>371</v>
      </c>
      <c r="F10" s="46" t="s">
        <v>6066</v>
      </c>
      <c r="G10" s="46" t="s">
        <v>6067</v>
      </c>
      <c r="H10" s="46" t="s">
        <v>1095</v>
      </c>
      <c r="I10" s="46" t="s">
        <v>2249</v>
      </c>
      <c r="J10" s="46" t="s">
        <v>2250</v>
      </c>
      <c r="K10" s="46" t="s">
        <v>2251</v>
      </c>
      <c r="L10" s="46" t="s">
        <v>2252</v>
      </c>
      <c r="M10" s="46" t="s">
        <v>2253</v>
      </c>
      <c r="N10" s="46" t="s">
        <v>2254</v>
      </c>
      <c r="O10" s="46" t="s">
        <v>1060</v>
      </c>
    </row>
    <row r="11" spans="1:15">
      <c r="B11" s="46" t="s">
        <v>370</v>
      </c>
      <c r="C11" s="46" t="s">
        <v>4644</v>
      </c>
      <c r="D11" s="46" t="s">
        <v>2412</v>
      </c>
      <c r="E11" s="46" t="s">
        <v>253</v>
      </c>
      <c r="F11" s="46" t="s">
        <v>4645</v>
      </c>
      <c r="G11" s="46" t="s">
        <v>4646</v>
      </c>
      <c r="H11" s="46" t="s">
        <v>1095</v>
      </c>
      <c r="I11" s="46" t="s">
        <v>1062</v>
      </c>
      <c r="J11" s="46" t="s">
        <v>1063</v>
      </c>
      <c r="K11" s="46" t="s">
        <v>1064</v>
      </c>
      <c r="L11" s="46" t="s">
        <v>1065</v>
      </c>
      <c r="M11" s="46" t="s">
        <v>1066</v>
      </c>
      <c r="N11" s="46" t="s">
        <v>1067</v>
      </c>
      <c r="O11" s="46" t="s">
        <v>1068</v>
      </c>
    </row>
    <row r="12" spans="1:15">
      <c r="B12" s="46" t="s">
        <v>370</v>
      </c>
      <c r="C12" s="46" t="s">
        <v>4647</v>
      </c>
      <c r="D12" s="46" t="s">
        <v>2422</v>
      </c>
      <c r="O12" s="46" t="s">
        <v>1076</v>
      </c>
    </row>
    <row r="13" spans="1:15">
      <c r="B13" s="46" t="s">
        <v>367</v>
      </c>
      <c r="C13" s="46" t="s">
        <v>4650</v>
      </c>
      <c r="D13" s="46" t="s">
        <v>2432</v>
      </c>
      <c r="E13" s="46" t="s">
        <v>369</v>
      </c>
      <c r="F13" s="46" t="s">
        <v>6068</v>
      </c>
      <c r="G13" s="46" t="s">
        <v>6069</v>
      </c>
      <c r="H13" s="46" t="s">
        <v>1095</v>
      </c>
      <c r="I13" s="46" t="s">
        <v>2255</v>
      </c>
      <c r="J13" s="46" t="s">
        <v>2256</v>
      </c>
      <c r="K13" s="46" t="s">
        <v>2257</v>
      </c>
      <c r="L13" s="46" t="s">
        <v>2258</v>
      </c>
      <c r="M13" s="46" t="s">
        <v>2259</v>
      </c>
      <c r="N13" s="46" t="s">
        <v>2260</v>
      </c>
      <c r="O13" s="46" t="s">
        <v>1077</v>
      </c>
    </row>
    <row r="14" spans="1:15">
      <c r="B14" s="46" t="s">
        <v>367</v>
      </c>
      <c r="C14" s="46" t="s">
        <v>4651</v>
      </c>
      <c r="D14" s="46" t="s">
        <v>2442</v>
      </c>
      <c r="E14" s="46" t="s">
        <v>368</v>
      </c>
      <c r="F14" s="46" t="s">
        <v>4652</v>
      </c>
      <c r="G14" s="46" t="s">
        <v>4653</v>
      </c>
      <c r="H14" s="46" t="s">
        <v>1095</v>
      </c>
      <c r="I14" s="46" t="s">
        <v>1079</v>
      </c>
      <c r="J14" s="46" t="s">
        <v>1080</v>
      </c>
      <c r="K14" s="46" t="s">
        <v>1081</v>
      </c>
      <c r="L14" s="46" t="s">
        <v>1082</v>
      </c>
      <c r="M14" s="46" t="s">
        <v>1083</v>
      </c>
      <c r="N14" s="46" t="s">
        <v>1084</v>
      </c>
      <c r="O14" s="46" t="s">
        <v>1085</v>
      </c>
    </row>
    <row r="15" spans="1:15">
      <c r="B15" s="46" t="s">
        <v>367</v>
      </c>
      <c r="C15" s="46" t="s">
        <v>4654</v>
      </c>
      <c r="D15" s="46" t="s">
        <v>2452</v>
      </c>
      <c r="O15" s="46" t="s">
        <v>1093</v>
      </c>
    </row>
    <row r="16" spans="1:15">
      <c r="B16" s="46" t="s">
        <v>364</v>
      </c>
      <c r="C16" s="46" t="s">
        <v>4657</v>
      </c>
      <c r="D16" s="46" t="s">
        <v>2462</v>
      </c>
      <c r="E16" s="46" t="s">
        <v>366</v>
      </c>
      <c r="F16" s="46" t="s">
        <v>6070</v>
      </c>
      <c r="G16" s="46" t="s">
        <v>6071</v>
      </c>
      <c r="H16" s="46" t="s">
        <v>1095</v>
      </c>
      <c r="I16" s="46" t="s">
        <v>2261</v>
      </c>
      <c r="J16" s="46" t="s">
        <v>2262</v>
      </c>
      <c r="K16" s="46" t="s">
        <v>2263</v>
      </c>
      <c r="L16" s="46" t="s">
        <v>2264</v>
      </c>
      <c r="M16" s="46" t="s">
        <v>2265</v>
      </c>
      <c r="N16" s="46" t="s">
        <v>2266</v>
      </c>
      <c r="O16" s="46" t="s">
        <v>1094</v>
      </c>
    </row>
    <row r="17" spans="2:15">
      <c r="B17" s="46" t="s">
        <v>364</v>
      </c>
      <c r="C17" s="46" t="s">
        <v>4658</v>
      </c>
      <c r="D17" s="46" t="s">
        <v>2472</v>
      </c>
      <c r="E17" s="46" t="s">
        <v>365</v>
      </c>
      <c r="F17" s="46" t="s">
        <v>6072</v>
      </c>
      <c r="G17" s="46" t="s">
        <v>6073</v>
      </c>
      <c r="H17" s="46" t="s">
        <v>1095</v>
      </c>
      <c r="I17" s="46" t="s">
        <v>1096</v>
      </c>
      <c r="J17" s="46" t="s">
        <v>1097</v>
      </c>
      <c r="K17" s="46" t="s">
        <v>1098</v>
      </c>
      <c r="L17" s="46" t="s">
        <v>1099</v>
      </c>
      <c r="M17" s="46" t="s">
        <v>1100</v>
      </c>
      <c r="N17" s="46" t="s">
        <v>1101</v>
      </c>
      <c r="O17" s="46" t="s">
        <v>1102</v>
      </c>
    </row>
    <row r="18" spans="2:15">
      <c r="B18" s="46" t="s">
        <v>364</v>
      </c>
      <c r="C18" s="46" t="s">
        <v>4659</v>
      </c>
      <c r="D18" s="46" t="s">
        <v>2482</v>
      </c>
      <c r="O18" s="46" t="s">
        <v>1109</v>
      </c>
    </row>
    <row r="19" spans="2:15">
      <c r="B19" s="46" t="s">
        <v>361</v>
      </c>
      <c r="C19" s="46" t="s">
        <v>4660</v>
      </c>
      <c r="D19" s="46" t="s">
        <v>2492</v>
      </c>
      <c r="E19" s="46" t="s">
        <v>363</v>
      </c>
      <c r="F19" s="46" t="s">
        <v>4661</v>
      </c>
      <c r="G19" s="46" t="s">
        <v>4662</v>
      </c>
      <c r="H19" s="46" t="s">
        <v>1095</v>
      </c>
      <c r="I19" s="46" t="s">
        <v>1111</v>
      </c>
      <c r="J19" s="46" t="s">
        <v>1112</v>
      </c>
      <c r="K19" s="46" t="s">
        <v>1113</v>
      </c>
      <c r="L19" s="46" t="s">
        <v>1114</v>
      </c>
      <c r="M19" s="46" t="s">
        <v>1115</v>
      </c>
      <c r="N19" s="46" t="s">
        <v>1116</v>
      </c>
      <c r="O19" s="46" t="s">
        <v>1117</v>
      </c>
    </row>
    <row r="20" spans="2:15">
      <c r="B20" s="46" t="s">
        <v>361</v>
      </c>
      <c r="C20" s="46" t="s">
        <v>4663</v>
      </c>
      <c r="D20" s="46" t="s">
        <v>2502</v>
      </c>
      <c r="E20" s="46" t="s">
        <v>362</v>
      </c>
      <c r="F20" s="46" t="s">
        <v>4664</v>
      </c>
      <c r="G20" s="46" t="s">
        <v>4665</v>
      </c>
      <c r="H20" s="46" t="s">
        <v>1095</v>
      </c>
      <c r="I20" s="46" t="s">
        <v>1119</v>
      </c>
      <c r="J20" s="46" t="s">
        <v>1120</v>
      </c>
      <c r="K20" s="46" t="s">
        <v>1121</v>
      </c>
      <c r="L20" s="46" t="s">
        <v>1122</v>
      </c>
      <c r="M20" s="46" t="s">
        <v>1123</v>
      </c>
      <c r="N20" s="46" t="s">
        <v>1124</v>
      </c>
      <c r="O20" s="46" t="s">
        <v>1125</v>
      </c>
    </row>
    <row r="21" spans="2:15">
      <c r="B21" s="46" t="s">
        <v>361</v>
      </c>
      <c r="C21" s="46" t="s">
        <v>4666</v>
      </c>
      <c r="D21" s="46" t="s">
        <v>2512</v>
      </c>
      <c r="O21" s="46" t="s">
        <v>1126</v>
      </c>
    </row>
    <row r="22" spans="2:15">
      <c r="B22" s="46" t="s">
        <v>360</v>
      </c>
      <c r="C22" s="46" t="s">
        <v>4667</v>
      </c>
      <c r="D22" s="46" t="s">
        <v>2522</v>
      </c>
      <c r="I22" s="46" t="s">
        <v>1128</v>
      </c>
      <c r="J22" s="46" t="s">
        <v>1129</v>
      </c>
      <c r="K22" s="46" t="s">
        <v>1130</v>
      </c>
      <c r="L22" s="46" t="s">
        <v>1131</v>
      </c>
      <c r="M22" s="46" t="s">
        <v>1132</v>
      </c>
      <c r="N22" s="46" t="s">
        <v>1133</v>
      </c>
      <c r="O22" s="46" t="s">
        <v>1134</v>
      </c>
    </row>
    <row r="23" spans="2:15">
      <c r="B23" s="46" t="s">
        <v>357</v>
      </c>
      <c r="C23" s="46" t="s">
        <v>4670</v>
      </c>
      <c r="D23" s="46" t="s">
        <v>2532</v>
      </c>
      <c r="E23" s="46" t="s">
        <v>359</v>
      </c>
      <c r="F23" s="46" t="s">
        <v>4671</v>
      </c>
      <c r="G23" s="46" t="s">
        <v>4672</v>
      </c>
      <c r="H23" s="46" t="s">
        <v>1095</v>
      </c>
      <c r="I23" s="46" t="s">
        <v>1136</v>
      </c>
      <c r="J23" s="46" t="s">
        <v>1137</v>
      </c>
      <c r="K23" s="46" t="s">
        <v>1138</v>
      </c>
      <c r="L23" s="46" t="s">
        <v>1139</v>
      </c>
      <c r="M23" s="46" t="s">
        <v>1140</v>
      </c>
      <c r="N23" s="46" t="s">
        <v>1141</v>
      </c>
      <c r="O23" s="46" t="s">
        <v>1142</v>
      </c>
    </row>
    <row r="24" spans="2:15">
      <c r="B24" s="46" t="s">
        <v>357</v>
      </c>
      <c r="C24" s="46" t="s">
        <v>4673</v>
      </c>
      <c r="D24" s="46" t="s">
        <v>2541</v>
      </c>
      <c r="E24" s="46" t="s">
        <v>358</v>
      </c>
      <c r="F24" s="46" t="s">
        <v>6074</v>
      </c>
      <c r="G24" s="46" t="s">
        <v>6075</v>
      </c>
      <c r="H24" s="46" t="s">
        <v>1095</v>
      </c>
      <c r="I24" s="46" t="s">
        <v>2267</v>
      </c>
      <c r="J24" s="46" t="s">
        <v>2268</v>
      </c>
      <c r="K24" s="46" t="s">
        <v>2269</v>
      </c>
      <c r="L24" s="46" t="s">
        <v>2270</v>
      </c>
      <c r="M24" s="46" t="s">
        <v>2271</v>
      </c>
      <c r="N24" s="46" t="s">
        <v>2272</v>
      </c>
      <c r="O24" s="46" t="s">
        <v>1143</v>
      </c>
    </row>
    <row r="25" spans="2:15">
      <c r="B25" s="46" t="s">
        <v>357</v>
      </c>
      <c r="C25" s="46" t="s">
        <v>4674</v>
      </c>
      <c r="D25" s="46" t="s">
        <v>2550</v>
      </c>
      <c r="O25" s="46" t="s">
        <v>1151</v>
      </c>
    </row>
    <row r="26" spans="2:15">
      <c r="B26" s="46" t="s">
        <v>356</v>
      </c>
      <c r="C26" s="46" t="s">
        <v>4677</v>
      </c>
      <c r="D26" s="46" t="s">
        <v>2560</v>
      </c>
      <c r="I26" s="46" t="s">
        <v>1153</v>
      </c>
      <c r="J26" s="46" t="s">
        <v>1154</v>
      </c>
      <c r="K26" s="46" t="s">
        <v>1155</v>
      </c>
      <c r="L26" s="46" t="s">
        <v>1156</v>
      </c>
      <c r="M26" s="46" t="s">
        <v>1157</v>
      </c>
      <c r="N26" s="46" t="s">
        <v>1158</v>
      </c>
      <c r="O26" s="46" t="s">
        <v>1159</v>
      </c>
    </row>
    <row r="27" spans="2:15">
      <c r="B27" s="46" t="s">
        <v>355</v>
      </c>
      <c r="C27" s="46" t="s">
        <v>4680</v>
      </c>
      <c r="D27" s="46" t="s">
        <v>2570</v>
      </c>
      <c r="I27" s="46" t="s">
        <v>2273</v>
      </c>
      <c r="J27" s="46" t="s">
        <v>2274</v>
      </c>
      <c r="K27" s="46" t="s">
        <v>2275</v>
      </c>
      <c r="L27" s="46" t="s">
        <v>2276</v>
      </c>
      <c r="M27" s="46" t="s">
        <v>2277</v>
      </c>
      <c r="N27" s="46" t="s">
        <v>2278</v>
      </c>
      <c r="O27" s="46" t="s">
        <v>1160</v>
      </c>
    </row>
    <row r="28" spans="2:15">
      <c r="B28" s="46" t="s">
        <v>351</v>
      </c>
      <c r="C28" s="46" t="s">
        <v>4681</v>
      </c>
      <c r="D28" s="46" t="s">
        <v>2580</v>
      </c>
      <c r="E28" s="46" t="s">
        <v>354</v>
      </c>
      <c r="F28" s="46" t="s">
        <v>4682</v>
      </c>
      <c r="G28" s="46" t="s">
        <v>4683</v>
      </c>
      <c r="H28" s="46" t="s">
        <v>1095</v>
      </c>
      <c r="I28" s="46" t="s">
        <v>1162</v>
      </c>
      <c r="J28" s="46" t="s">
        <v>1163</v>
      </c>
      <c r="K28" s="46" t="s">
        <v>1164</v>
      </c>
      <c r="L28" s="46" t="s">
        <v>1165</v>
      </c>
      <c r="M28" s="46" t="s">
        <v>1166</v>
      </c>
      <c r="N28" s="46" t="s">
        <v>1167</v>
      </c>
      <c r="O28" s="46" t="s">
        <v>1168</v>
      </c>
    </row>
    <row r="29" spans="2:15">
      <c r="B29" s="46" t="s">
        <v>351</v>
      </c>
      <c r="C29" s="46" t="s">
        <v>4684</v>
      </c>
      <c r="D29" s="46" t="s">
        <v>2590</v>
      </c>
      <c r="E29" s="46" t="s">
        <v>353</v>
      </c>
      <c r="F29" s="46" t="s">
        <v>4685</v>
      </c>
      <c r="G29" s="46" t="s">
        <v>4686</v>
      </c>
      <c r="H29" s="46" t="s">
        <v>1095</v>
      </c>
      <c r="I29" s="46" t="s">
        <v>1170</v>
      </c>
      <c r="J29" s="46" t="s">
        <v>1171</v>
      </c>
      <c r="K29" s="46" t="s">
        <v>1172</v>
      </c>
      <c r="L29" s="46" t="s">
        <v>1173</v>
      </c>
      <c r="M29" s="46" t="s">
        <v>1174</v>
      </c>
      <c r="N29" s="46" t="s">
        <v>1175</v>
      </c>
      <c r="O29" s="46" t="s">
        <v>1176</v>
      </c>
    </row>
    <row r="30" spans="2:15">
      <c r="B30" s="46" t="s">
        <v>351</v>
      </c>
      <c r="C30" s="46" t="s">
        <v>4687</v>
      </c>
      <c r="D30" s="46" t="s">
        <v>2600</v>
      </c>
      <c r="E30" s="46" t="s">
        <v>352</v>
      </c>
      <c r="F30" s="46" t="s">
        <v>6076</v>
      </c>
      <c r="G30" s="46" t="s">
        <v>6077</v>
      </c>
      <c r="H30" s="46" t="s">
        <v>1095</v>
      </c>
      <c r="I30" s="46" t="s">
        <v>2279</v>
      </c>
      <c r="J30" s="46" t="s">
        <v>2280</v>
      </c>
      <c r="K30" s="46" t="s">
        <v>2281</v>
      </c>
      <c r="L30" s="46" t="s">
        <v>2282</v>
      </c>
      <c r="M30" s="46" t="s">
        <v>2283</v>
      </c>
      <c r="N30" s="46" t="s">
        <v>2284</v>
      </c>
      <c r="O30" s="46" t="s">
        <v>1177</v>
      </c>
    </row>
    <row r="31" spans="2:15">
      <c r="B31" s="46" t="s">
        <v>351</v>
      </c>
      <c r="C31" s="46" t="s">
        <v>4688</v>
      </c>
      <c r="D31" s="46" t="s">
        <v>2610</v>
      </c>
      <c r="O31" s="46" t="s">
        <v>1185</v>
      </c>
    </row>
    <row r="32" spans="2:15">
      <c r="B32" s="46" t="s">
        <v>347</v>
      </c>
      <c r="C32" s="46" t="s">
        <v>4691</v>
      </c>
      <c r="D32" s="46" t="s">
        <v>2620</v>
      </c>
      <c r="E32" s="46" t="s">
        <v>350</v>
      </c>
      <c r="F32" s="46" t="s">
        <v>4692</v>
      </c>
      <c r="G32" s="46" t="s">
        <v>4693</v>
      </c>
      <c r="H32" s="46" t="s">
        <v>1095</v>
      </c>
      <c r="I32" s="46" t="s">
        <v>1187</v>
      </c>
      <c r="J32" s="46" t="s">
        <v>1188</v>
      </c>
      <c r="K32" s="46" t="s">
        <v>1189</v>
      </c>
      <c r="L32" s="46" t="s">
        <v>1190</v>
      </c>
      <c r="M32" s="46" t="s">
        <v>1191</v>
      </c>
      <c r="N32" s="46" t="s">
        <v>1192</v>
      </c>
      <c r="O32" s="46" t="s">
        <v>1193</v>
      </c>
    </row>
    <row r="33" spans="2:15">
      <c r="B33" s="46" t="s">
        <v>347</v>
      </c>
      <c r="C33" s="46" t="s">
        <v>4694</v>
      </c>
      <c r="D33" s="46" t="s">
        <v>2630</v>
      </c>
      <c r="E33" s="46" t="s">
        <v>349</v>
      </c>
      <c r="F33" s="46" t="s">
        <v>6078</v>
      </c>
      <c r="G33" s="46" t="s">
        <v>6079</v>
      </c>
      <c r="H33" s="46" t="s">
        <v>1095</v>
      </c>
      <c r="I33" s="46" t="s">
        <v>2285</v>
      </c>
      <c r="J33" s="46" t="s">
        <v>2286</v>
      </c>
      <c r="K33" s="46" t="s">
        <v>2287</v>
      </c>
      <c r="L33" s="46" t="s">
        <v>2288</v>
      </c>
      <c r="M33" s="46" t="s">
        <v>2289</v>
      </c>
      <c r="N33" s="46" t="s">
        <v>2290</v>
      </c>
      <c r="O33" s="46" t="s">
        <v>1194</v>
      </c>
    </row>
    <row r="34" spans="2:15">
      <c r="B34" s="46" t="s">
        <v>347</v>
      </c>
      <c r="C34" s="46" t="s">
        <v>4695</v>
      </c>
      <c r="D34" s="46" t="s">
        <v>2640</v>
      </c>
      <c r="E34" s="46" t="s">
        <v>348</v>
      </c>
      <c r="F34" s="46" t="s">
        <v>4696</v>
      </c>
      <c r="G34" s="46" t="s">
        <v>4697</v>
      </c>
      <c r="H34" s="46" t="s">
        <v>1095</v>
      </c>
      <c r="I34" s="46" t="s">
        <v>1196</v>
      </c>
      <c r="J34" s="46" t="s">
        <v>1197</v>
      </c>
      <c r="K34" s="46" t="s">
        <v>1198</v>
      </c>
      <c r="L34" s="46" t="s">
        <v>1199</v>
      </c>
      <c r="M34" s="46" t="s">
        <v>1200</v>
      </c>
      <c r="N34" s="46" t="s">
        <v>1201</v>
      </c>
      <c r="O34" s="46" t="s">
        <v>1202</v>
      </c>
    </row>
    <row r="35" spans="2:15">
      <c r="B35" s="46" t="s">
        <v>347</v>
      </c>
      <c r="C35" s="46" t="s">
        <v>4698</v>
      </c>
      <c r="D35" s="46" t="s">
        <v>2650</v>
      </c>
      <c r="O35" s="46" t="s">
        <v>1210</v>
      </c>
    </row>
    <row r="36" spans="2:15">
      <c r="B36" s="46" t="s">
        <v>343</v>
      </c>
      <c r="C36" s="46" t="s">
        <v>4701</v>
      </c>
      <c r="D36" s="46" t="s">
        <v>2660</v>
      </c>
      <c r="E36" s="46" t="s">
        <v>346</v>
      </c>
      <c r="F36" s="46" t="s">
        <v>6080</v>
      </c>
      <c r="G36" s="46" t="s">
        <v>6081</v>
      </c>
      <c r="H36" s="46" t="s">
        <v>1095</v>
      </c>
      <c r="I36" s="46" t="s">
        <v>2291</v>
      </c>
      <c r="J36" s="46" t="s">
        <v>2292</v>
      </c>
      <c r="K36" s="46" t="s">
        <v>2293</v>
      </c>
      <c r="L36" s="46" t="s">
        <v>2294</v>
      </c>
      <c r="M36" s="46" t="s">
        <v>2295</v>
      </c>
      <c r="N36" s="46" t="s">
        <v>2296</v>
      </c>
      <c r="O36" s="46" t="s">
        <v>1211</v>
      </c>
    </row>
    <row r="37" spans="2:15">
      <c r="B37" s="46" t="s">
        <v>343</v>
      </c>
      <c r="C37" s="46" t="s">
        <v>4702</v>
      </c>
      <c r="D37" s="46" t="s">
        <v>2670</v>
      </c>
      <c r="E37" s="46" t="s">
        <v>345</v>
      </c>
      <c r="F37" s="46" t="s">
        <v>4703</v>
      </c>
      <c r="G37" s="46" t="s">
        <v>4704</v>
      </c>
      <c r="H37" s="46" t="s">
        <v>1095</v>
      </c>
      <c r="I37" s="46" t="s">
        <v>1213</v>
      </c>
      <c r="J37" s="46" t="s">
        <v>1214</v>
      </c>
      <c r="K37" s="46" t="s">
        <v>1215</v>
      </c>
      <c r="L37" s="46" t="s">
        <v>1216</v>
      </c>
      <c r="M37" s="46" t="s">
        <v>1217</v>
      </c>
      <c r="N37" s="46" t="s">
        <v>1218</v>
      </c>
      <c r="O37" s="46" t="s">
        <v>1219</v>
      </c>
    </row>
    <row r="38" spans="2:15">
      <c r="B38" s="46" t="s">
        <v>343</v>
      </c>
      <c r="C38" s="46" t="s">
        <v>4705</v>
      </c>
      <c r="D38" s="46" t="s">
        <v>2680</v>
      </c>
      <c r="E38" s="46" t="s">
        <v>344</v>
      </c>
      <c r="F38" s="46" t="s">
        <v>4706</v>
      </c>
      <c r="G38" s="46" t="s">
        <v>4707</v>
      </c>
      <c r="H38" s="46" t="s">
        <v>1095</v>
      </c>
      <c r="I38" s="46" t="s">
        <v>1221</v>
      </c>
      <c r="J38" s="46" t="s">
        <v>1222</v>
      </c>
      <c r="K38" s="46" t="s">
        <v>1223</v>
      </c>
      <c r="L38" s="46" t="s">
        <v>1224</v>
      </c>
      <c r="M38" s="46" t="s">
        <v>1225</v>
      </c>
      <c r="N38" s="46" t="s">
        <v>1226</v>
      </c>
      <c r="O38" s="46" t="s">
        <v>1227</v>
      </c>
    </row>
    <row r="39" spans="2:15">
      <c r="B39" s="46" t="s">
        <v>343</v>
      </c>
      <c r="C39" s="46" t="s">
        <v>4708</v>
      </c>
      <c r="D39" s="46" t="s">
        <v>2690</v>
      </c>
      <c r="O39" s="46" t="s">
        <v>1228</v>
      </c>
    </row>
    <row r="40" spans="2:15">
      <c r="B40" s="46" t="s">
        <v>338</v>
      </c>
      <c r="C40" s="46" t="s">
        <v>4709</v>
      </c>
      <c r="D40" s="46" t="s">
        <v>2700</v>
      </c>
      <c r="E40" s="46" t="s">
        <v>342</v>
      </c>
      <c r="F40" s="46" t="s">
        <v>4710</v>
      </c>
      <c r="G40" s="46" t="s">
        <v>4711</v>
      </c>
      <c r="H40" s="46" t="s">
        <v>1095</v>
      </c>
      <c r="I40" s="46" t="s">
        <v>1230</v>
      </c>
      <c r="J40" s="46" t="s">
        <v>1231</v>
      </c>
      <c r="K40" s="46" t="s">
        <v>1232</v>
      </c>
      <c r="L40" s="46" t="s">
        <v>1233</v>
      </c>
      <c r="M40" s="46" t="s">
        <v>1234</v>
      </c>
      <c r="N40" s="46" t="s">
        <v>1235</v>
      </c>
      <c r="O40" s="46" t="s">
        <v>1236</v>
      </c>
    </row>
    <row r="41" spans="2:15">
      <c r="B41" s="46" t="s">
        <v>338</v>
      </c>
      <c r="C41" s="46" t="s">
        <v>4712</v>
      </c>
      <c r="D41" s="46" t="s">
        <v>2710</v>
      </c>
      <c r="E41" s="46" t="s">
        <v>341</v>
      </c>
      <c r="F41" s="46" t="s">
        <v>4713</v>
      </c>
      <c r="G41" s="46" t="s">
        <v>4714</v>
      </c>
      <c r="H41" s="46" t="s">
        <v>1095</v>
      </c>
      <c r="I41" s="46" t="s">
        <v>1238</v>
      </c>
      <c r="J41" s="46" t="s">
        <v>1239</v>
      </c>
      <c r="K41" s="46" t="s">
        <v>1240</v>
      </c>
      <c r="L41" s="46" t="s">
        <v>1241</v>
      </c>
      <c r="M41" s="46" t="s">
        <v>1242</v>
      </c>
      <c r="N41" s="46" t="s">
        <v>1243</v>
      </c>
      <c r="O41" s="46" t="s">
        <v>1244</v>
      </c>
    </row>
    <row r="42" spans="2:15">
      <c r="B42" s="46" t="s">
        <v>338</v>
      </c>
      <c r="C42" s="46" t="s">
        <v>4715</v>
      </c>
      <c r="D42" s="46" t="s">
        <v>2720</v>
      </c>
      <c r="E42" s="46" t="s">
        <v>340</v>
      </c>
      <c r="F42" s="46" t="s">
        <v>6082</v>
      </c>
      <c r="G42" s="46" t="s">
        <v>6083</v>
      </c>
      <c r="H42" s="46" t="s">
        <v>1095</v>
      </c>
      <c r="I42" s="46" t="s">
        <v>2297</v>
      </c>
      <c r="J42" s="46" t="s">
        <v>2298</v>
      </c>
      <c r="K42" s="46" t="s">
        <v>2299</v>
      </c>
      <c r="L42" s="46" t="s">
        <v>2300</v>
      </c>
      <c r="M42" s="46" t="s">
        <v>2301</v>
      </c>
      <c r="N42" s="46" t="s">
        <v>2302</v>
      </c>
      <c r="O42" s="46" t="s">
        <v>1245</v>
      </c>
    </row>
    <row r="43" spans="2:15">
      <c r="B43" s="46" t="s">
        <v>338</v>
      </c>
      <c r="C43" s="46" t="s">
        <v>4716</v>
      </c>
      <c r="D43" s="46" t="s">
        <v>2730</v>
      </c>
      <c r="E43" s="46" t="s">
        <v>339</v>
      </c>
      <c r="F43" s="46" t="s">
        <v>4717</v>
      </c>
      <c r="G43" s="46" t="s">
        <v>4718</v>
      </c>
      <c r="H43" s="46" t="s">
        <v>1095</v>
      </c>
      <c r="I43" s="46" t="s">
        <v>1247</v>
      </c>
      <c r="J43" s="46" t="s">
        <v>1248</v>
      </c>
      <c r="K43" s="46" t="s">
        <v>1249</v>
      </c>
      <c r="L43" s="46" t="s">
        <v>1250</v>
      </c>
      <c r="M43" s="46" t="s">
        <v>1251</v>
      </c>
      <c r="N43" s="46" t="s">
        <v>1252</v>
      </c>
      <c r="O43" s="46" t="s">
        <v>1253</v>
      </c>
    </row>
    <row r="44" spans="2:15">
      <c r="B44" s="46" t="s">
        <v>338</v>
      </c>
      <c r="C44" s="46" t="s">
        <v>4719</v>
      </c>
      <c r="D44" s="46" t="s">
        <v>2740</v>
      </c>
      <c r="O44" s="46" t="s">
        <v>1261</v>
      </c>
    </row>
    <row r="45" spans="2:15">
      <c r="B45" s="46" t="s">
        <v>332</v>
      </c>
      <c r="C45" s="46" t="s">
        <v>4722</v>
      </c>
      <c r="D45" s="46" t="s">
        <v>2750</v>
      </c>
      <c r="E45" s="46" t="s">
        <v>337</v>
      </c>
      <c r="F45" s="46" t="s">
        <v>6084</v>
      </c>
      <c r="G45" s="46" t="s">
        <v>6085</v>
      </c>
      <c r="H45" s="46" t="s">
        <v>1095</v>
      </c>
      <c r="I45" s="46" t="s">
        <v>2303</v>
      </c>
      <c r="J45" s="46" t="s">
        <v>2304</v>
      </c>
      <c r="K45" s="46" t="s">
        <v>2305</v>
      </c>
      <c r="L45" s="46" t="s">
        <v>2306</v>
      </c>
      <c r="M45" s="46" t="s">
        <v>2307</v>
      </c>
      <c r="N45" s="46" t="s">
        <v>2308</v>
      </c>
      <c r="O45" s="46" t="s">
        <v>1262</v>
      </c>
    </row>
    <row r="46" spans="2:15">
      <c r="B46" s="46" t="s">
        <v>332</v>
      </c>
      <c r="C46" s="46" t="s">
        <v>4723</v>
      </c>
      <c r="D46" s="46" t="s">
        <v>2760</v>
      </c>
      <c r="E46" s="46" t="s">
        <v>336</v>
      </c>
      <c r="F46" s="46" t="s">
        <v>4724</v>
      </c>
      <c r="G46" s="46" t="s">
        <v>4725</v>
      </c>
      <c r="H46" s="46" t="s">
        <v>1095</v>
      </c>
      <c r="I46" s="46" t="s">
        <v>1264</v>
      </c>
      <c r="J46" s="46" t="s">
        <v>1265</v>
      </c>
      <c r="K46" s="46" t="s">
        <v>1266</v>
      </c>
      <c r="L46" s="46" t="s">
        <v>1267</v>
      </c>
      <c r="M46" s="46" t="s">
        <v>1268</v>
      </c>
      <c r="N46" s="46" t="s">
        <v>1269</v>
      </c>
      <c r="O46" s="46" t="s">
        <v>1270</v>
      </c>
    </row>
    <row r="47" spans="2:15">
      <c r="B47" s="46" t="s">
        <v>332</v>
      </c>
      <c r="C47" s="46" t="s">
        <v>4726</v>
      </c>
      <c r="D47" s="46" t="s">
        <v>2770</v>
      </c>
      <c r="E47" s="46" t="s">
        <v>335</v>
      </c>
      <c r="F47" s="46" t="s">
        <v>4727</v>
      </c>
      <c r="G47" s="46" t="s">
        <v>4728</v>
      </c>
      <c r="H47" s="46" t="s">
        <v>1095</v>
      </c>
      <c r="I47" s="46" t="s">
        <v>1272</v>
      </c>
      <c r="J47" s="46" t="s">
        <v>1273</v>
      </c>
      <c r="K47" s="46" t="s">
        <v>1274</v>
      </c>
      <c r="L47" s="46" t="s">
        <v>1275</v>
      </c>
      <c r="M47" s="46" t="s">
        <v>1276</v>
      </c>
      <c r="N47" s="46" t="s">
        <v>1277</v>
      </c>
      <c r="O47" s="46" t="s">
        <v>1278</v>
      </c>
    </row>
    <row r="48" spans="2:15">
      <c r="B48" s="46" t="s">
        <v>332</v>
      </c>
      <c r="C48" s="46" t="s">
        <v>4729</v>
      </c>
      <c r="D48" s="46" t="s">
        <v>2780</v>
      </c>
      <c r="E48" s="46" t="s">
        <v>334</v>
      </c>
      <c r="F48" s="46" t="s">
        <v>6086</v>
      </c>
      <c r="G48" s="46" t="s">
        <v>6087</v>
      </c>
      <c r="H48" s="46" t="s">
        <v>1095</v>
      </c>
      <c r="I48" s="46" t="s">
        <v>2309</v>
      </c>
      <c r="J48" s="46" t="s">
        <v>2310</v>
      </c>
      <c r="K48" s="46" t="s">
        <v>2311</v>
      </c>
      <c r="L48" s="46" t="s">
        <v>2312</v>
      </c>
      <c r="M48" s="46" t="s">
        <v>2313</v>
      </c>
      <c r="N48" s="46" t="s">
        <v>2314</v>
      </c>
      <c r="O48" s="46" t="s">
        <v>1279</v>
      </c>
    </row>
    <row r="49" spans="2:15">
      <c r="B49" s="46" t="s">
        <v>332</v>
      </c>
      <c r="C49" s="46" t="s">
        <v>4730</v>
      </c>
      <c r="D49" s="46" t="s">
        <v>2790</v>
      </c>
      <c r="E49" s="46" t="s">
        <v>333</v>
      </c>
      <c r="F49" s="46" t="s">
        <v>4731</v>
      </c>
      <c r="G49" s="46" t="s">
        <v>4732</v>
      </c>
      <c r="H49" s="46" t="s">
        <v>1095</v>
      </c>
      <c r="I49" s="46" t="s">
        <v>1281</v>
      </c>
      <c r="J49" s="46" t="s">
        <v>1282</v>
      </c>
      <c r="K49" s="46" t="s">
        <v>1283</v>
      </c>
      <c r="L49" s="46" t="s">
        <v>1284</v>
      </c>
      <c r="M49" s="46" t="s">
        <v>1285</v>
      </c>
      <c r="N49" s="46" t="s">
        <v>1286</v>
      </c>
      <c r="O49" s="46" t="s">
        <v>1287</v>
      </c>
    </row>
    <row r="50" spans="2:15">
      <c r="B50" s="46" t="s">
        <v>332</v>
      </c>
      <c r="C50" s="46" t="s">
        <v>4733</v>
      </c>
      <c r="D50" s="46" t="s">
        <v>2800</v>
      </c>
      <c r="O50" s="46" t="s">
        <v>1295</v>
      </c>
    </row>
    <row r="51" spans="2:15">
      <c r="B51" s="46" t="s">
        <v>326</v>
      </c>
      <c r="C51" s="46" t="s">
        <v>4736</v>
      </c>
      <c r="D51" s="46" t="s">
        <v>2810</v>
      </c>
      <c r="E51" s="46" t="s">
        <v>331</v>
      </c>
      <c r="F51" s="46" t="s">
        <v>6088</v>
      </c>
      <c r="G51" s="46" t="s">
        <v>6089</v>
      </c>
      <c r="H51" s="46" t="s">
        <v>1095</v>
      </c>
      <c r="I51" s="46" t="s">
        <v>2315</v>
      </c>
      <c r="J51" s="46" t="s">
        <v>2316</v>
      </c>
      <c r="K51" s="46" t="s">
        <v>2317</v>
      </c>
      <c r="L51" s="46" t="s">
        <v>2318</v>
      </c>
      <c r="M51" s="46" t="s">
        <v>2319</v>
      </c>
      <c r="N51" s="46" t="s">
        <v>2320</v>
      </c>
      <c r="O51" s="46" t="s">
        <v>1296</v>
      </c>
    </row>
    <row r="52" spans="2:15">
      <c r="B52" s="46" t="s">
        <v>326</v>
      </c>
      <c r="C52" s="46" t="s">
        <v>4737</v>
      </c>
      <c r="D52" s="46" t="s">
        <v>2820</v>
      </c>
      <c r="E52" s="46" t="s">
        <v>330</v>
      </c>
      <c r="F52" s="46" t="s">
        <v>4738</v>
      </c>
      <c r="G52" s="46" t="s">
        <v>4739</v>
      </c>
      <c r="H52" s="46" t="s">
        <v>1095</v>
      </c>
      <c r="I52" s="46" t="s">
        <v>1298</v>
      </c>
      <c r="J52" s="46" t="s">
        <v>1299</v>
      </c>
      <c r="K52" s="46" t="s">
        <v>1300</v>
      </c>
      <c r="L52" s="46" t="s">
        <v>1301</v>
      </c>
      <c r="M52" s="46" t="s">
        <v>1302</v>
      </c>
      <c r="N52" s="46" t="s">
        <v>1303</v>
      </c>
      <c r="O52" s="46" t="s">
        <v>1304</v>
      </c>
    </row>
    <row r="53" spans="2:15">
      <c r="B53" s="46" t="s">
        <v>326</v>
      </c>
      <c r="C53" s="46" t="s">
        <v>4740</v>
      </c>
      <c r="D53" s="46" t="s">
        <v>2830</v>
      </c>
      <c r="E53" s="46" t="s">
        <v>329</v>
      </c>
      <c r="F53" s="46" t="s">
        <v>4741</v>
      </c>
      <c r="G53" s="46" t="s">
        <v>4742</v>
      </c>
      <c r="H53" s="46" t="s">
        <v>1095</v>
      </c>
      <c r="I53" s="46" t="s">
        <v>1306</v>
      </c>
      <c r="J53" s="46" t="s">
        <v>1307</v>
      </c>
      <c r="K53" s="46" t="s">
        <v>1308</v>
      </c>
      <c r="L53" s="46" t="s">
        <v>1309</v>
      </c>
      <c r="M53" s="46" t="s">
        <v>1310</v>
      </c>
      <c r="N53" s="46" t="s">
        <v>1311</v>
      </c>
      <c r="O53" s="46" t="s">
        <v>1312</v>
      </c>
    </row>
    <row r="54" spans="2:15">
      <c r="B54" s="46" t="s">
        <v>326</v>
      </c>
      <c r="C54" s="46" t="s">
        <v>4743</v>
      </c>
      <c r="D54" s="46" t="s">
        <v>2840</v>
      </c>
      <c r="E54" s="46" t="s">
        <v>328</v>
      </c>
      <c r="F54" s="46" t="s">
        <v>6090</v>
      </c>
      <c r="G54" s="46" t="s">
        <v>6091</v>
      </c>
      <c r="H54" s="46" t="s">
        <v>1095</v>
      </c>
      <c r="I54" s="46" t="s">
        <v>2321</v>
      </c>
      <c r="J54" s="46" t="s">
        <v>2322</v>
      </c>
      <c r="K54" s="46" t="s">
        <v>2323</v>
      </c>
      <c r="L54" s="46" t="s">
        <v>2324</v>
      </c>
      <c r="M54" s="46" t="s">
        <v>2325</v>
      </c>
      <c r="N54" s="46" t="s">
        <v>2326</v>
      </c>
      <c r="O54" s="46" t="s">
        <v>1313</v>
      </c>
    </row>
    <row r="55" spans="2:15">
      <c r="B55" s="46" t="s">
        <v>326</v>
      </c>
      <c r="C55" s="46" t="s">
        <v>4744</v>
      </c>
      <c r="D55" s="46" t="s">
        <v>2850</v>
      </c>
      <c r="E55" s="46" t="s">
        <v>327</v>
      </c>
      <c r="F55" s="46" t="s">
        <v>4745</v>
      </c>
      <c r="G55" s="46" t="s">
        <v>4746</v>
      </c>
      <c r="H55" s="46" t="s">
        <v>1095</v>
      </c>
      <c r="I55" s="46" t="s">
        <v>1315</v>
      </c>
      <c r="J55" s="46" t="s">
        <v>1316</v>
      </c>
      <c r="K55" s="46" t="s">
        <v>1317</v>
      </c>
      <c r="L55" s="46" t="s">
        <v>1318</v>
      </c>
      <c r="M55" s="46" t="s">
        <v>1319</v>
      </c>
      <c r="N55" s="46" t="s">
        <v>1320</v>
      </c>
      <c r="O55" s="46" t="s">
        <v>1321</v>
      </c>
    </row>
    <row r="56" spans="2:15">
      <c r="B56" s="46" t="s">
        <v>326</v>
      </c>
      <c r="C56" s="46" t="s">
        <v>4747</v>
      </c>
      <c r="D56" s="46" t="s">
        <v>2860</v>
      </c>
      <c r="O56" s="46" t="s">
        <v>1329</v>
      </c>
    </row>
    <row r="57" spans="2:15">
      <c r="B57" s="46" t="s">
        <v>320</v>
      </c>
      <c r="C57" s="46" t="s">
        <v>4750</v>
      </c>
      <c r="D57" s="46" t="s">
        <v>2870</v>
      </c>
      <c r="E57" s="46" t="s">
        <v>325</v>
      </c>
      <c r="F57" s="46" t="s">
        <v>6092</v>
      </c>
      <c r="G57" s="46" t="s">
        <v>6093</v>
      </c>
      <c r="H57" s="46" t="s">
        <v>1095</v>
      </c>
      <c r="I57" s="46" t="s">
        <v>2327</v>
      </c>
      <c r="J57" s="46" t="s">
        <v>2328</v>
      </c>
      <c r="K57" s="46" t="s">
        <v>2329</v>
      </c>
      <c r="L57" s="46" t="s">
        <v>2330</v>
      </c>
      <c r="M57" s="46" t="s">
        <v>2331</v>
      </c>
      <c r="N57" s="46" t="s">
        <v>2332</v>
      </c>
      <c r="O57" s="46" t="s">
        <v>1330</v>
      </c>
    </row>
    <row r="58" spans="2:15">
      <c r="B58" s="46" t="s">
        <v>320</v>
      </c>
      <c r="C58" s="46" t="s">
        <v>4751</v>
      </c>
      <c r="D58" s="46" t="s">
        <v>2880</v>
      </c>
      <c r="E58" s="46" t="s">
        <v>324</v>
      </c>
      <c r="F58" s="46" t="s">
        <v>4752</v>
      </c>
      <c r="G58" s="46" t="s">
        <v>4753</v>
      </c>
      <c r="H58" s="46" t="s">
        <v>1095</v>
      </c>
      <c r="I58" s="46" t="s">
        <v>1332</v>
      </c>
      <c r="J58" s="46" t="s">
        <v>1333</v>
      </c>
      <c r="K58" s="46" t="s">
        <v>1334</v>
      </c>
      <c r="L58" s="46" t="s">
        <v>1335</v>
      </c>
      <c r="M58" s="46" t="s">
        <v>1336</v>
      </c>
      <c r="N58" s="46" t="s">
        <v>1337</v>
      </c>
      <c r="O58" s="46" t="s">
        <v>1338</v>
      </c>
    </row>
    <row r="59" spans="2:15">
      <c r="B59" s="46" t="s">
        <v>320</v>
      </c>
      <c r="C59" s="46" t="s">
        <v>4754</v>
      </c>
      <c r="D59" s="46" t="s">
        <v>2890</v>
      </c>
      <c r="E59" s="46" t="s">
        <v>323</v>
      </c>
      <c r="F59" s="46" t="s">
        <v>4755</v>
      </c>
      <c r="G59" s="46" t="s">
        <v>4756</v>
      </c>
      <c r="H59" s="46" t="s">
        <v>1095</v>
      </c>
      <c r="I59" s="46" t="s">
        <v>1340</v>
      </c>
      <c r="J59" s="46" t="s">
        <v>1341</v>
      </c>
      <c r="K59" s="46" t="s">
        <v>1342</v>
      </c>
      <c r="L59" s="46" t="s">
        <v>1343</v>
      </c>
      <c r="M59" s="46" t="s">
        <v>1344</v>
      </c>
      <c r="N59" s="46" t="s">
        <v>1345</v>
      </c>
      <c r="O59" s="46" t="s">
        <v>1346</v>
      </c>
    </row>
    <row r="60" spans="2:15">
      <c r="B60" s="46" t="s">
        <v>320</v>
      </c>
      <c r="C60" s="46" t="s">
        <v>4757</v>
      </c>
      <c r="D60" s="46" t="s">
        <v>2900</v>
      </c>
      <c r="E60" s="46" t="s">
        <v>322</v>
      </c>
      <c r="F60" s="46" t="s">
        <v>6094</v>
      </c>
      <c r="G60" s="46" t="s">
        <v>6095</v>
      </c>
      <c r="H60" s="46" t="s">
        <v>1095</v>
      </c>
      <c r="I60" s="46" t="s">
        <v>2333</v>
      </c>
      <c r="J60" s="46" t="s">
        <v>2334</v>
      </c>
      <c r="K60" s="46" t="s">
        <v>2335</v>
      </c>
      <c r="L60" s="46" t="s">
        <v>2336</v>
      </c>
      <c r="M60" s="46" t="s">
        <v>2337</v>
      </c>
      <c r="N60" s="46" t="s">
        <v>2338</v>
      </c>
      <c r="O60" s="46" t="s">
        <v>1347</v>
      </c>
    </row>
    <row r="61" spans="2:15">
      <c r="B61" s="46" t="s">
        <v>320</v>
      </c>
      <c r="C61" s="46" t="s">
        <v>4758</v>
      </c>
      <c r="D61" s="46" t="s">
        <v>2909</v>
      </c>
      <c r="E61" s="46" t="s">
        <v>321</v>
      </c>
      <c r="F61" s="46" t="s">
        <v>4759</v>
      </c>
      <c r="G61" s="46" t="s">
        <v>4760</v>
      </c>
      <c r="H61" s="46" t="s">
        <v>1095</v>
      </c>
      <c r="I61" s="46" t="s">
        <v>1349</v>
      </c>
      <c r="J61" s="46" t="s">
        <v>1350</v>
      </c>
      <c r="K61" s="46" t="s">
        <v>1351</v>
      </c>
      <c r="L61" s="46" t="s">
        <v>1352</v>
      </c>
      <c r="M61" s="46" t="s">
        <v>1353</v>
      </c>
      <c r="N61" s="46" t="s">
        <v>1354</v>
      </c>
      <c r="O61" s="46" t="s">
        <v>1355</v>
      </c>
    </row>
    <row r="62" spans="2:15">
      <c r="B62" s="46" t="s">
        <v>320</v>
      </c>
      <c r="C62" s="46" t="s">
        <v>4761</v>
      </c>
      <c r="D62" s="46" t="s">
        <v>2919</v>
      </c>
      <c r="O62" s="46" t="s">
        <v>1363</v>
      </c>
    </row>
    <row r="63" spans="2:15">
      <c r="B63" s="46" t="s">
        <v>314</v>
      </c>
      <c r="C63" s="46" t="s">
        <v>4764</v>
      </c>
      <c r="D63" s="46" t="s">
        <v>2928</v>
      </c>
      <c r="E63" s="46" t="s">
        <v>319</v>
      </c>
      <c r="F63" s="46" t="s">
        <v>6096</v>
      </c>
      <c r="G63" s="46" t="s">
        <v>6097</v>
      </c>
      <c r="H63" s="46" t="s">
        <v>1095</v>
      </c>
      <c r="I63" s="46" t="s">
        <v>2339</v>
      </c>
      <c r="J63" s="46" t="s">
        <v>2340</v>
      </c>
      <c r="K63" s="46" t="s">
        <v>2341</v>
      </c>
      <c r="L63" s="46" t="s">
        <v>2342</v>
      </c>
      <c r="M63" s="46" t="s">
        <v>2343</v>
      </c>
      <c r="N63" s="46" t="s">
        <v>2344</v>
      </c>
      <c r="O63" s="46" t="s">
        <v>1364</v>
      </c>
    </row>
    <row r="64" spans="2:15">
      <c r="B64" s="46" t="s">
        <v>314</v>
      </c>
      <c r="C64" s="46" t="s">
        <v>4765</v>
      </c>
      <c r="D64" s="46" t="s">
        <v>2938</v>
      </c>
      <c r="E64" s="46" t="s">
        <v>318</v>
      </c>
      <c r="F64" s="46" t="s">
        <v>4766</v>
      </c>
      <c r="G64" s="46" t="s">
        <v>4767</v>
      </c>
      <c r="H64" s="46" t="s">
        <v>1095</v>
      </c>
      <c r="I64" s="46" t="s">
        <v>1366</v>
      </c>
      <c r="J64" s="46" t="s">
        <v>1367</v>
      </c>
      <c r="K64" s="46" t="s">
        <v>1368</v>
      </c>
      <c r="L64" s="46" t="s">
        <v>1369</v>
      </c>
      <c r="M64" s="46" t="s">
        <v>1370</v>
      </c>
      <c r="N64" s="46" t="s">
        <v>1371</v>
      </c>
      <c r="O64" s="46" t="s">
        <v>1372</v>
      </c>
    </row>
    <row r="65" spans="2:15">
      <c r="B65" s="46" t="s">
        <v>314</v>
      </c>
      <c r="C65" s="46" t="s">
        <v>4768</v>
      </c>
      <c r="D65" s="46" t="s">
        <v>2948</v>
      </c>
      <c r="E65" s="46" t="s">
        <v>317</v>
      </c>
      <c r="F65" s="46" t="s">
        <v>4769</v>
      </c>
      <c r="G65" s="46" t="s">
        <v>4770</v>
      </c>
      <c r="H65" s="46" t="s">
        <v>1095</v>
      </c>
      <c r="I65" s="46" t="s">
        <v>1374</v>
      </c>
      <c r="J65" s="46" t="s">
        <v>1375</v>
      </c>
      <c r="K65" s="46" t="s">
        <v>1376</v>
      </c>
      <c r="L65" s="46" t="s">
        <v>1377</v>
      </c>
      <c r="M65" s="46" t="s">
        <v>1378</v>
      </c>
      <c r="N65" s="46" t="s">
        <v>1379</v>
      </c>
      <c r="O65" s="46" t="s">
        <v>1380</v>
      </c>
    </row>
    <row r="66" spans="2:15">
      <c r="B66" s="46" t="s">
        <v>314</v>
      </c>
      <c r="C66" s="46" t="s">
        <v>4771</v>
      </c>
      <c r="D66" s="46" t="s">
        <v>2958</v>
      </c>
      <c r="E66" s="46" t="s">
        <v>316</v>
      </c>
      <c r="F66" s="46" t="s">
        <v>6098</v>
      </c>
      <c r="G66" s="46" t="s">
        <v>6099</v>
      </c>
      <c r="H66" s="46" t="s">
        <v>1095</v>
      </c>
      <c r="I66" s="46" t="s">
        <v>2345</v>
      </c>
      <c r="J66" s="46" t="s">
        <v>2346</v>
      </c>
      <c r="K66" s="46" t="s">
        <v>2347</v>
      </c>
      <c r="L66" s="46" t="s">
        <v>2348</v>
      </c>
      <c r="M66" s="46" t="s">
        <v>2349</v>
      </c>
      <c r="N66" s="46" t="s">
        <v>2350</v>
      </c>
      <c r="O66" s="46" t="s">
        <v>1381</v>
      </c>
    </row>
    <row r="67" spans="2:15">
      <c r="B67" s="46" t="s">
        <v>314</v>
      </c>
      <c r="C67" s="46" t="s">
        <v>4772</v>
      </c>
      <c r="D67" s="46" t="s">
        <v>2968</v>
      </c>
      <c r="E67" s="46" t="s">
        <v>315</v>
      </c>
      <c r="F67" s="46" t="s">
        <v>4773</v>
      </c>
      <c r="G67" s="46" t="s">
        <v>4774</v>
      </c>
      <c r="H67" s="46" t="s">
        <v>1095</v>
      </c>
      <c r="I67" s="46" t="s">
        <v>1383</v>
      </c>
      <c r="J67" s="46" t="s">
        <v>1384</v>
      </c>
      <c r="K67" s="46" t="s">
        <v>1385</v>
      </c>
      <c r="L67" s="46" t="s">
        <v>1386</v>
      </c>
      <c r="M67" s="46" t="s">
        <v>1387</v>
      </c>
      <c r="N67" s="46" t="s">
        <v>1388</v>
      </c>
      <c r="O67" s="46" t="s">
        <v>1389</v>
      </c>
    </row>
    <row r="68" spans="2:15">
      <c r="B68" s="46" t="s">
        <v>314</v>
      </c>
      <c r="C68" s="46" t="s">
        <v>4775</v>
      </c>
      <c r="D68" s="46" t="s">
        <v>2978</v>
      </c>
      <c r="O68" s="46" t="s">
        <v>1397</v>
      </c>
    </row>
    <row r="69" spans="2:15">
      <c r="B69" s="46" t="s">
        <v>308</v>
      </c>
      <c r="C69" s="46" t="s">
        <v>4778</v>
      </c>
      <c r="D69" s="46" t="s">
        <v>2988</v>
      </c>
      <c r="E69" s="46" t="s">
        <v>313</v>
      </c>
      <c r="F69" s="46" t="s">
        <v>6100</v>
      </c>
      <c r="G69" s="46" t="s">
        <v>6101</v>
      </c>
      <c r="H69" s="46" t="s">
        <v>1095</v>
      </c>
      <c r="I69" s="46" t="s">
        <v>2351</v>
      </c>
      <c r="J69" s="46" t="s">
        <v>2352</v>
      </c>
      <c r="K69" s="46" t="s">
        <v>2353</v>
      </c>
      <c r="L69" s="46" t="s">
        <v>2354</v>
      </c>
      <c r="M69" s="46" t="s">
        <v>2355</v>
      </c>
      <c r="N69" s="46" t="s">
        <v>2356</v>
      </c>
      <c r="O69" s="46" t="s">
        <v>1398</v>
      </c>
    </row>
    <row r="70" spans="2:15">
      <c r="B70" s="46" t="s">
        <v>308</v>
      </c>
      <c r="C70" s="46" t="s">
        <v>4779</v>
      </c>
      <c r="D70" s="46" t="s">
        <v>2998</v>
      </c>
      <c r="E70" s="46" t="s">
        <v>312</v>
      </c>
      <c r="F70" s="46" t="s">
        <v>4780</v>
      </c>
      <c r="G70" s="46" t="s">
        <v>4781</v>
      </c>
      <c r="H70" s="46" t="s">
        <v>1095</v>
      </c>
      <c r="I70" s="46" t="s">
        <v>1400</v>
      </c>
      <c r="J70" s="46" t="s">
        <v>1401</v>
      </c>
      <c r="K70" s="46" t="s">
        <v>1402</v>
      </c>
      <c r="L70" s="46" t="s">
        <v>1403</v>
      </c>
      <c r="M70" s="46" t="s">
        <v>1404</v>
      </c>
      <c r="N70" s="46" t="s">
        <v>1405</v>
      </c>
      <c r="O70" s="46" t="s">
        <v>1406</v>
      </c>
    </row>
    <row r="71" spans="2:15">
      <c r="B71" s="46" t="s">
        <v>308</v>
      </c>
      <c r="C71" s="46" t="s">
        <v>4782</v>
      </c>
      <c r="D71" s="46" t="s">
        <v>3008</v>
      </c>
      <c r="E71" s="46" t="s">
        <v>311</v>
      </c>
      <c r="F71" s="46" t="s">
        <v>4783</v>
      </c>
      <c r="G71" s="46" t="s">
        <v>4784</v>
      </c>
      <c r="H71" s="46" t="s">
        <v>1095</v>
      </c>
      <c r="I71" s="46" t="s">
        <v>1408</v>
      </c>
      <c r="J71" s="46" t="s">
        <v>1409</v>
      </c>
      <c r="K71" s="46" t="s">
        <v>1410</v>
      </c>
      <c r="L71" s="46" t="s">
        <v>1411</v>
      </c>
      <c r="M71" s="46" t="s">
        <v>1412</v>
      </c>
      <c r="N71" s="46" t="s">
        <v>1413</v>
      </c>
      <c r="O71" s="46" t="s">
        <v>1414</v>
      </c>
    </row>
    <row r="72" spans="2:15">
      <c r="B72" s="46" t="s">
        <v>308</v>
      </c>
      <c r="C72" s="46" t="s">
        <v>4785</v>
      </c>
      <c r="D72" s="46" t="s">
        <v>3018</v>
      </c>
      <c r="E72" s="46" t="s">
        <v>310</v>
      </c>
      <c r="F72" s="46" t="s">
        <v>6102</v>
      </c>
      <c r="G72" s="46" t="s">
        <v>6103</v>
      </c>
      <c r="H72" s="46" t="s">
        <v>1095</v>
      </c>
      <c r="I72" s="46" t="s">
        <v>2357</v>
      </c>
      <c r="J72" s="46" t="s">
        <v>2358</v>
      </c>
      <c r="K72" s="46" t="s">
        <v>2359</v>
      </c>
      <c r="L72" s="46" t="s">
        <v>2360</v>
      </c>
      <c r="M72" s="46" t="s">
        <v>2361</v>
      </c>
      <c r="N72" s="46" t="s">
        <v>2362</v>
      </c>
      <c r="O72" s="46" t="s">
        <v>1415</v>
      </c>
    </row>
    <row r="73" spans="2:15">
      <c r="B73" s="46" t="s">
        <v>308</v>
      </c>
      <c r="C73" s="46" t="s">
        <v>4786</v>
      </c>
      <c r="D73" s="46" t="s">
        <v>3028</v>
      </c>
      <c r="E73" s="46" t="s">
        <v>309</v>
      </c>
      <c r="F73" s="46" t="s">
        <v>6104</v>
      </c>
      <c r="G73" s="46" t="s">
        <v>6105</v>
      </c>
      <c r="H73" s="46" t="s">
        <v>1095</v>
      </c>
      <c r="I73" s="46" t="s">
        <v>1416</v>
      </c>
      <c r="J73" s="46" t="s">
        <v>1417</v>
      </c>
      <c r="K73" s="46" t="s">
        <v>1418</v>
      </c>
      <c r="L73" s="46" t="s">
        <v>1419</v>
      </c>
      <c r="M73" s="46" t="s">
        <v>1420</v>
      </c>
      <c r="N73" s="46" t="s">
        <v>1421</v>
      </c>
      <c r="O73" s="46" t="s">
        <v>1422</v>
      </c>
    </row>
    <row r="74" spans="2:15">
      <c r="B74" s="46" t="s">
        <v>308</v>
      </c>
      <c r="C74" s="46" t="s">
        <v>4787</v>
      </c>
      <c r="D74" s="46" t="s">
        <v>3038</v>
      </c>
      <c r="O74" s="46" t="s">
        <v>1429</v>
      </c>
    </row>
    <row r="75" spans="2:15">
      <c r="B75" s="46" t="s">
        <v>303</v>
      </c>
      <c r="C75" s="46" t="s">
        <v>4788</v>
      </c>
      <c r="D75" s="46" t="s">
        <v>3048</v>
      </c>
      <c r="E75" s="46" t="s">
        <v>307</v>
      </c>
      <c r="F75" s="46" t="s">
        <v>6106</v>
      </c>
      <c r="G75" s="46" t="s">
        <v>6107</v>
      </c>
      <c r="H75" s="46" t="s">
        <v>1095</v>
      </c>
      <c r="I75" s="46" t="s">
        <v>1430</v>
      </c>
      <c r="J75" s="46" t="s">
        <v>1431</v>
      </c>
      <c r="K75" s="46" t="s">
        <v>1432</v>
      </c>
      <c r="L75" s="46" t="s">
        <v>1433</v>
      </c>
      <c r="M75" s="46" t="s">
        <v>1434</v>
      </c>
      <c r="N75" s="46" t="s">
        <v>1435</v>
      </c>
      <c r="O75" s="46" t="s">
        <v>1436</v>
      </c>
    </row>
    <row r="76" spans="2:15">
      <c r="B76" s="46" t="s">
        <v>303</v>
      </c>
      <c r="C76" s="46" t="s">
        <v>4789</v>
      </c>
      <c r="D76" s="46" t="s">
        <v>3058</v>
      </c>
      <c r="E76" s="46" t="s">
        <v>306</v>
      </c>
      <c r="F76" s="46" t="s">
        <v>6108</v>
      </c>
      <c r="G76" s="46" t="s">
        <v>6109</v>
      </c>
      <c r="H76" s="46" t="s">
        <v>1095</v>
      </c>
      <c r="I76" s="46" t="s">
        <v>1437</v>
      </c>
      <c r="J76" s="46" t="s">
        <v>1438</v>
      </c>
      <c r="K76" s="46" t="s">
        <v>1439</v>
      </c>
      <c r="L76" s="46" t="s">
        <v>1440</v>
      </c>
      <c r="M76" s="46" t="s">
        <v>1441</v>
      </c>
      <c r="N76" s="46" t="s">
        <v>1442</v>
      </c>
      <c r="O76" s="46" t="s">
        <v>1443</v>
      </c>
    </row>
    <row r="77" spans="2:15">
      <c r="B77" s="46" t="s">
        <v>303</v>
      </c>
      <c r="C77" s="46" t="s">
        <v>4790</v>
      </c>
      <c r="D77" s="46" t="s">
        <v>3068</v>
      </c>
      <c r="E77" s="46" t="s">
        <v>305</v>
      </c>
      <c r="F77" s="46" t="s">
        <v>6110</v>
      </c>
      <c r="G77" s="46" t="s">
        <v>6111</v>
      </c>
      <c r="H77" s="46" t="s">
        <v>1095</v>
      </c>
      <c r="I77" s="46" t="s">
        <v>1444</v>
      </c>
      <c r="J77" s="46" t="s">
        <v>1445</v>
      </c>
      <c r="K77" s="46" t="s">
        <v>1446</v>
      </c>
      <c r="L77" s="46" t="s">
        <v>1447</v>
      </c>
      <c r="M77" s="46" t="s">
        <v>1448</v>
      </c>
      <c r="N77" s="46" t="s">
        <v>1449</v>
      </c>
      <c r="O77" s="46" t="s">
        <v>1450</v>
      </c>
    </row>
    <row r="78" spans="2:15">
      <c r="B78" s="46" t="s">
        <v>303</v>
      </c>
      <c r="C78" s="46" t="s">
        <v>4791</v>
      </c>
      <c r="D78" s="46" t="s">
        <v>3078</v>
      </c>
      <c r="E78" s="46" t="s">
        <v>304</v>
      </c>
      <c r="F78" s="46" t="s">
        <v>6112</v>
      </c>
      <c r="G78" s="46" t="s">
        <v>6113</v>
      </c>
      <c r="H78" s="46" t="s">
        <v>1095</v>
      </c>
      <c r="I78" s="46" t="s">
        <v>1451</v>
      </c>
      <c r="J78" s="46" t="s">
        <v>1452</v>
      </c>
      <c r="K78" s="46" t="s">
        <v>1453</v>
      </c>
      <c r="L78" s="46" t="s">
        <v>1454</v>
      </c>
      <c r="M78" s="46" t="s">
        <v>1455</v>
      </c>
      <c r="N78" s="46" t="s">
        <v>1456</v>
      </c>
      <c r="O78" s="46" t="s">
        <v>1457</v>
      </c>
    </row>
    <row r="79" spans="2:15">
      <c r="B79" s="46" t="s">
        <v>303</v>
      </c>
      <c r="C79" s="46" t="s">
        <v>4792</v>
      </c>
      <c r="D79" s="46" t="s">
        <v>3088</v>
      </c>
      <c r="O79" s="46" t="s">
        <v>1464</v>
      </c>
    </row>
    <row r="80" spans="2:15">
      <c r="B80" s="46" t="s">
        <v>298</v>
      </c>
      <c r="C80" s="46" t="s">
        <v>4793</v>
      </c>
      <c r="D80" s="46" t="s">
        <v>3098</v>
      </c>
      <c r="E80" s="46" t="s">
        <v>302</v>
      </c>
      <c r="F80" s="46" t="s">
        <v>6114</v>
      </c>
      <c r="G80" s="46" t="s">
        <v>6115</v>
      </c>
      <c r="H80" s="46" t="s">
        <v>1095</v>
      </c>
      <c r="I80" s="46" t="s">
        <v>1465</v>
      </c>
      <c r="J80" s="46" t="s">
        <v>1466</v>
      </c>
      <c r="K80" s="46" t="s">
        <v>1467</v>
      </c>
      <c r="L80" s="46" t="s">
        <v>1468</v>
      </c>
      <c r="M80" s="46" t="s">
        <v>1469</v>
      </c>
      <c r="N80" s="46" t="s">
        <v>1470</v>
      </c>
      <c r="O80" s="46" t="s">
        <v>1471</v>
      </c>
    </row>
    <row r="81" spans="2:15">
      <c r="B81" s="46" t="s">
        <v>298</v>
      </c>
      <c r="C81" s="46" t="s">
        <v>4794</v>
      </c>
      <c r="D81" s="46" t="s">
        <v>3108</v>
      </c>
      <c r="E81" s="46" t="s">
        <v>301</v>
      </c>
      <c r="F81" s="46" t="s">
        <v>6116</v>
      </c>
      <c r="G81" s="46" t="s">
        <v>6117</v>
      </c>
      <c r="H81" s="46" t="s">
        <v>1095</v>
      </c>
      <c r="I81" s="46" t="s">
        <v>1472</v>
      </c>
      <c r="J81" s="46" t="s">
        <v>1473</v>
      </c>
      <c r="K81" s="46" t="s">
        <v>1474</v>
      </c>
      <c r="L81" s="46" t="s">
        <v>1475</v>
      </c>
      <c r="M81" s="46" t="s">
        <v>1476</v>
      </c>
      <c r="N81" s="46" t="s">
        <v>1477</v>
      </c>
      <c r="O81" s="46" t="s">
        <v>1478</v>
      </c>
    </row>
    <row r="82" spans="2:15">
      <c r="B82" s="46" t="s">
        <v>298</v>
      </c>
      <c r="C82" s="46" t="s">
        <v>4795</v>
      </c>
      <c r="D82" s="46" t="s">
        <v>3118</v>
      </c>
      <c r="E82" s="46" t="s">
        <v>300</v>
      </c>
      <c r="F82" s="46" t="s">
        <v>6118</v>
      </c>
      <c r="G82" s="46" t="s">
        <v>6119</v>
      </c>
      <c r="H82" s="46" t="s">
        <v>1095</v>
      </c>
      <c r="I82" s="46" t="s">
        <v>1479</v>
      </c>
      <c r="J82" s="46" t="s">
        <v>1480</v>
      </c>
      <c r="K82" s="46" t="s">
        <v>1481</v>
      </c>
      <c r="L82" s="46" t="s">
        <v>1482</v>
      </c>
      <c r="M82" s="46" t="s">
        <v>1483</v>
      </c>
      <c r="N82" s="46" t="s">
        <v>1484</v>
      </c>
      <c r="O82" s="46" t="s">
        <v>1485</v>
      </c>
    </row>
    <row r="83" spans="2:15">
      <c r="B83" s="46" t="s">
        <v>298</v>
      </c>
      <c r="C83" s="46" t="s">
        <v>4796</v>
      </c>
      <c r="D83" s="46" t="s">
        <v>3128</v>
      </c>
      <c r="E83" s="46" t="s">
        <v>299</v>
      </c>
      <c r="F83" s="46" t="s">
        <v>6120</v>
      </c>
      <c r="G83" s="46" t="s">
        <v>6121</v>
      </c>
      <c r="H83" s="46" t="s">
        <v>1095</v>
      </c>
      <c r="I83" s="46" t="s">
        <v>1486</v>
      </c>
      <c r="J83" s="46" t="s">
        <v>1487</v>
      </c>
      <c r="K83" s="46" t="s">
        <v>1488</v>
      </c>
      <c r="L83" s="46" t="s">
        <v>1489</v>
      </c>
      <c r="M83" s="46" t="s">
        <v>1490</v>
      </c>
      <c r="N83" s="46" t="s">
        <v>1491</v>
      </c>
      <c r="O83" s="46" t="s">
        <v>1492</v>
      </c>
    </row>
    <row r="84" spans="2:15">
      <c r="B84" s="46" t="s">
        <v>298</v>
      </c>
      <c r="C84" s="46" t="s">
        <v>4797</v>
      </c>
      <c r="D84" s="46" t="s">
        <v>3138</v>
      </c>
      <c r="O84" s="46" t="s">
        <v>1499</v>
      </c>
    </row>
    <row r="85" spans="2:15">
      <c r="B85" s="46" t="s">
        <v>297</v>
      </c>
      <c r="C85" s="46" t="s">
        <v>4798</v>
      </c>
      <c r="D85" s="46" t="s">
        <v>3148</v>
      </c>
      <c r="I85" s="46" t="s">
        <v>1500</v>
      </c>
      <c r="J85" s="46" t="s">
        <v>1501</v>
      </c>
      <c r="K85" s="46" t="s">
        <v>1502</v>
      </c>
      <c r="L85" s="46" t="s">
        <v>1503</v>
      </c>
      <c r="M85" s="46" t="s">
        <v>1504</v>
      </c>
      <c r="N85" s="46" t="s">
        <v>1505</v>
      </c>
      <c r="O85" s="46" t="s">
        <v>1506</v>
      </c>
    </row>
    <row r="86" spans="2:15">
      <c r="B86" s="46" t="s">
        <v>296</v>
      </c>
      <c r="C86" s="46" t="s">
        <v>4799</v>
      </c>
      <c r="D86" s="46" t="s">
        <v>3158</v>
      </c>
      <c r="I86" s="46" t="s">
        <v>1507</v>
      </c>
      <c r="J86" s="46" t="s">
        <v>1508</v>
      </c>
      <c r="K86" s="46" t="s">
        <v>1509</v>
      </c>
      <c r="L86" s="46" t="s">
        <v>1510</v>
      </c>
      <c r="M86" s="46" t="s">
        <v>1511</v>
      </c>
      <c r="N86" s="46" t="s">
        <v>1512</v>
      </c>
      <c r="O86" s="46" t="s">
        <v>1513</v>
      </c>
    </row>
    <row r="87" spans="2:15">
      <c r="B87" s="46" t="s">
        <v>295</v>
      </c>
      <c r="C87" s="46" t="s">
        <v>4800</v>
      </c>
      <c r="D87" s="46" t="s">
        <v>3168</v>
      </c>
      <c r="I87" s="46" t="s">
        <v>1514</v>
      </c>
      <c r="J87" s="46" t="s">
        <v>1515</v>
      </c>
      <c r="K87" s="46" t="s">
        <v>1516</v>
      </c>
      <c r="L87" s="46" t="s">
        <v>1517</v>
      </c>
      <c r="M87" s="46" t="s">
        <v>1518</v>
      </c>
      <c r="N87" s="46" t="s">
        <v>1519</v>
      </c>
      <c r="O87" s="46" t="s">
        <v>1520</v>
      </c>
    </row>
    <row r="88" spans="2:15">
      <c r="B88" s="46" t="s">
        <v>291</v>
      </c>
      <c r="C88" s="46" t="s">
        <v>4801</v>
      </c>
      <c r="D88" s="46" t="s">
        <v>3178</v>
      </c>
      <c r="E88" s="46" t="s">
        <v>294</v>
      </c>
      <c r="F88" s="46" t="s">
        <v>6122</v>
      </c>
      <c r="G88" s="46" t="s">
        <v>6123</v>
      </c>
      <c r="H88" s="46" t="s">
        <v>1095</v>
      </c>
      <c r="I88" s="46" t="s">
        <v>1521</v>
      </c>
      <c r="J88" s="46" t="s">
        <v>1522</v>
      </c>
      <c r="K88" s="46" t="s">
        <v>1523</v>
      </c>
      <c r="L88" s="46" t="s">
        <v>1524</v>
      </c>
      <c r="M88" s="46" t="s">
        <v>1525</v>
      </c>
      <c r="N88" s="46" t="s">
        <v>1526</v>
      </c>
      <c r="O88" s="46" t="s">
        <v>1527</v>
      </c>
    </row>
    <row r="89" spans="2:15">
      <c r="B89" s="46" t="s">
        <v>291</v>
      </c>
      <c r="C89" s="46" t="s">
        <v>4802</v>
      </c>
      <c r="D89" s="46" t="s">
        <v>3188</v>
      </c>
      <c r="E89" s="46" t="s">
        <v>293</v>
      </c>
      <c r="F89" s="46" t="s">
        <v>6124</v>
      </c>
      <c r="G89" s="46" t="s">
        <v>6125</v>
      </c>
      <c r="H89" s="46" t="s">
        <v>1095</v>
      </c>
      <c r="I89" s="46" t="s">
        <v>1528</v>
      </c>
      <c r="J89" s="46" t="s">
        <v>1529</v>
      </c>
      <c r="K89" s="46" t="s">
        <v>1530</v>
      </c>
      <c r="L89" s="46" t="s">
        <v>1531</v>
      </c>
      <c r="M89" s="46" t="s">
        <v>1532</v>
      </c>
      <c r="N89" s="46" t="s">
        <v>1533</v>
      </c>
      <c r="O89" s="46" t="s">
        <v>1534</v>
      </c>
    </row>
    <row r="90" spans="2:15">
      <c r="B90" s="46" t="s">
        <v>291</v>
      </c>
      <c r="C90" s="46" t="s">
        <v>4803</v>
      </c>
      <c r="D90" s="46" t="s">
        <v>3198</v>
      </c>
      <c r="E90" s="46" t="s">
        <v>292</v>
      </c>
      <c r="F90" s="46" t="s">
        <v>6126</v>
      </c>
      <c r="G90" s="46" t="s">
        <v>6127</v>
      </c>
      <c r="H90" s="46" t="s">
        <v>1095</v>
      </c>
      <c r="I90" s="46" t="s">
        <v>1535</v>
      </c>
      <c r="J90" s="46" t="s">
        <v>1536</v>
      </c>
      <c r="K90" s="46" t="s">
        <v>1537</v>
      </c>
      <c r="L90" s="46" t="s">
        <v>1538</v>
      </c>
      <c r="M90" s="46" t="s">
        <v>1539</v>
      </c>
      <c r="N90" s="46" t="s">
        <v>1540</v>
      </c>
      <c r="O90" s="46" t="s">
        <v>1541</v>
      </c>
    </row>
    <row r="91" spans="2:15">
      <c r="B91" s="46" t="s">
        <v>291</v>
      </c>
      <c r="C91" s="46" t="s">
        <v>4804</v>
      </c>
      <c r="D91" s="46" t="s">
        <v>3208</v>
      </c>
      <c r="O91" s="46" t="s">
        <v>1548</v>
      </c>
    </row>
    <row r="92" spans="2:15">
      <c r="B92" s="46" t="s">
        <v>287</v>
      </c>
      <c r="C92" s="46" t="s">
        <v>4805</v>
      </c>
      <c r="D92" s="46" t="s">
        <v>3218</v>
      </c>
      <c r="E92" s="46" t="s">
        <v>290</v>
      </c>
      <c r="F92" s="46" t="s">
        <v>6128</v>
      </c>
      <c r="G92" s="46" t="s">
        <v>6129</v>
      </c>
      <c r="H92" s="46" t="s">
        <v>1095</v>
      </c>
      <c r="I92" s="46" t="s">
        <v>1549</v>
      </c>
      <c r="J92" s="46" t="s">
        <v>1550</v>
      </c>
      <c r="K92" s="46" t="s">
        <v>1551</v>
      </c>
      <c r="L92" s="46" t="s">
        <v>1552</v>
      </c>
      <c r="M92" s="46" t="s">
        <v>1553</v>
      </c>
      <c r="N92" s="46" t="s">
        <v>1554</v>
      </c>
      <c r="O92" s="46" t="s">
        <v>1555</v>
      </c>
    </row>
    <row r="93" spans="2:15">
      <c r="B93" s="46" t="s">
        <v>287</v>
      </c>
      <c r="C93" s="46" t="s">
        <v>4806</v>
      </c>
      <c r="D93" s="46" t="s">
        <v>3228</v>
      </c>
      <c r="E93" s="46" t="s">
        <v>289</v>
      </c>
      <c r="F93" s="46" t="s">
        <v>6130</v>
      </c>
      <c r="G93" s="46" t="s">
        <v>6131</v>
      </c>
      <c r="H93" s="46" t="s">
        <v>1095</v>
      </c>
      <c r="I93" s="46" t="s">
        <v>1556</v>
      </c>
      <c r="J93" s="46" t="s">
        <v>1557</v>
      </c>
      <c r="K93" s="46" t="s">
        <v>1558</v>
      </c>
      <c r="L93" s="46" t="s">
        <v>1559</v>
      </c>
      <c r="M93" s="46" t="s">
        <v>1560</v>
      </c>
      <c r="N93" s="46" t="s">
        <v>1561</v>
      </c>
      <c r="O93" s="46" t="s">
        <v>1562</v>
      </c>
    </row>
    <row r="94" spans="2:15">
      <c r="B94" s="46" t="s">
        <v>287</v>
      </c>
      <c r="C94" s="46" t="s">
        <v>4807</v>
      </c>
      <c r="D94" s="46" t="s">
        <v>3238</v>
      </c>
      <c r="E94" s="46" t="s">
        <v>288</v>
      </c>
      <c r="F94" s="46" t="s">
        <v>6132</v>
      </c>
      <c r="G94" s="46" t="s">
        <v>6133</v>
      </c>
      <c r="H94" s="46" t="s">
        <v>1095</v>
      </c>
      <c r="I94" s="46" t="s">
        <v>1563</v>
      </c>
      <c r="J94" s="46" t="s">
        <v>1564</v>
      </c>
      <c r="K94" s="46" t="s">
        <v>1565</v>
      </c>
      <c r="L94" s="46" t="s">
        <v>1566</v>
      </c>
      <c r="M94" s="46" t="s">
        <v>1567</v>
      </c>
      <c r="N94" s="46" t="s">
        <v>1568</v>
      </c>
      <c r="O94" s="46" t="s">
        <v>1569</v>
      </c>
    </row>
    <row r="95" spans="2:15">
      <c r="B95" s="46" t="s">
        <v>287</v>
      </c>
      <c r="C95" s="46" t="s">
        <v>4808</v>
      </c>
      <c r="D95" s="46" t="s">
        <v>3248</v>
      </c>
      <c r="O95" s="46" t="s">
        <v>1576</v>
      </c>
    </row>
    <row r="96" spans="2:15">
      <c r="B96" s="46" t="s">
        <v>283</v>
      </c>
      <c r="C96" s="46" t="s">
        <v>4809</v>
      </c>
      <c r="D96" s="46" t="s">
        <v>3258</v>
      </c>
      <c r="E96" s="46" t="s">
        <v>286</v>
      </c>
      <c r="F96" s="46" t="s">
        <v>6134</v>
      </c>
      <c r="G96" s="46" t="s">
        <v>6135</v>
      </c>
      <c r="H96" s="46" t="s">
        <v>1095</v>
      </c>
      <c r="I96" s="46" t="s">
        <v>1577</v>
      </c>
      <c r="J96" s="46" t="s">
        <v>1578</v>
      </c>
      <c r="K96" s="46" t="s">
        <v>1579</v>
      </c>
      <c r="L96" s="46" t="s">
        <v>1580</v>
      </c>
      <c r="M96" s="46" t="s">
        <v>1581</v>
      </c>
      <c r="N96" s="46" t="s">
        <v>1582</v>
      </c>
      <c r="O96" s="46" t="s">
        <v>1583</v>
      </c>
    </row>
    <row r="97" spans="2:15">
      <c r="B97" s="46" t="s">
        <v>283</v>
      </c>
      <c r="C97" s="46" t="s">
        <v>4810</v>
      </c>
      <c r="D97" s="46" t="s">
        <v>3268</v>
      </c>
      <c r="E97" s="46" t="s">
        <v>285</v>
      </c>
      <c r="F97" s="46" t="s">
        <v>6136</v>
      </c>
      <c r="G97" s="46" t="s">
        <v>6137</v>
      </c>
      <c r="H97" s="46" t="s">
        <v>1095</v>
      </c>
      <c r="I97" s="46" t="s">
        <v>1584</v>
      </c>
      <c r="J97" s="46" t="s">
        <v>1585</v>
      </c>
      <c r="K97" s="46" t="s">
        <v>1586</v>
      </c>
      <c r="L97" s="46" t="s">
        <v>1587</v>
      </c>
      <c r="M97" s="46" t="s">
        <v>1588</v>
      </c>
      <c r="N97" s="46" t="s">
        <v>1589</v>
      </c>
      <c r="O97" s="46" t="s">
        <v>1590</v>
      </c>
    </row>
    <row r="98" spans="2:15">
      <c r="B98" s="46" t="s">
        <v>283</v>
      </c>
      <c r="C98" s="46" t="s">
        <v>4811</v>
      </c>
      <c r="D98" s="46" t="s">
        <v>3278</v>
      </c>
      <c r="E98" s="46" t="s">
        <v>284</v>
      </c>
      <c r="F98" s="46" t="s">
        <v>6138</v>
      </c>
      <c r="G98" s="46" t="s">
        <v>6139</v>
      </c>
      <c r="H98" s="46" t="s">
        <v>1095</v>
      </c>
      <c r="I98" s="46" t="s">
        <v>1591</v>
      </c>
      <c r="J98" s="46" t="s">
        <v>1592</v>
      </c>
      <c r="K98" s="46" t="s">
        <v>1593</v>
      </c>
      <c r="L98" s="46" t="s">
        <v>1594</v>
      </c>
      <c r="M98" s="46" t="s">
        <v>1595</v>
      </c>
      <c r="N98" s="46" t="s">
        <v>1596</v>
      </c>
      <c r="O98" s="46" t="s">
        <v>1597</v>
      </c>
    </row>
    <row r="99" spans="2:15">
      <c r="B99" s="46" t="s">
        <v>283</v>
      </c>
      <c r="C99" s="46" t="s">
        <v>4812</v>
      </c>
      <c r="D99" s="46" t="s">
        <v>3288</v>
      </c>
      <c r="O99" s="46" t="s">
        <v>1604</v>
      </c>
    </row>
    <row r="100" spans="2:15">
      <c r="B100" s="46" t="s">
        <v>279</v>
      </c>
      <c r="C100" s="46" t="s">
        <v>4813</v>
      </c>
      <c r="D100" s="46" t="s">
        <v>3298</v>
      </c>
      <c r="E100" s="46" t="s">
        <v>282</v>
      </c>
      <c r="F100" s="46" t="s">
        <v>6140</v>
      </c>
      <c r="G100" s="46" t="s">
        <v>6141</v>
      </c>
      <c r="H100" s="46" t="s">
        <v>1095</v>
      </c>
      <c r="I100" s="46" t="s">
        <v>1605</v>
      </c>
      <c r="J100" s="46" t="s">
        <v>1606</v>
      </c>
      <c r="K100" s="46" t="s">
        <v>1607</v>
      </c>
      <c r="L100" s="46" t="s">
        <v>1608</v>
      </c>
      <c r="M100" s="46" t="s">
        <v>1609</v>
      </c>
      <c r="N100" s="46" t="s">
        <v>1610</v>
      </c>
      <c r="O100" s="46" t="s">
        <v>1611</v>
      </c>
    </row>
    <row r="101" spans="2:15">
      <c r="B101" s="46" t="s">
        <v>279</v>
      </c>
      <c r="C101" s="46" t="s">
        <v>4814</v>
      </c>
      <c r="D101" s="46" t="s">
        <v>3308</v>
      </c>
      <c r="E101" s="46" t="s">
        <v>281</v>
      </c>
      <c r="F101" s="46" t="s">
        <v>6142</v>
      </c>
      <c r="G101" s="46" t="s">
        <v>6143</v>
      </c>
      <c r="H101" s="46" t="s">
        <v>1095</v>
      </c>
      <c r="I101" s="46" t="s">
        <v>1612</v>
      </c>
      <c r="J101" s="46" t="s">
        <v>1613</v>
      </c>
      <c r="K101" s="46" t="s">
        <v>1614</v>
      </c>
      <c r="L101" s="46" t="s">
        <v>1615</v>
      </c>
      <c r="M101" s="46" t="s">
        <v>1616</v>
      </c>
      <c r="N101" s="46" t="s">
        <v>1617</v>
      </c>
      <c r="O101" s="46" t="s">
        <v>1618</v>
      </c>
    </row>
    <row r="102" spans="2:15">
      <c r="B102" s="46" t="s">
        <v>279</v>
      </c>
      <c r="C102" s="46" t="s">
        <v>4815</v>
      </c>
      <c r="D102" s="46" t="s">
        <v>3318</v>
      </c>
      <c r="E102" s="46" t="s">
        <v>280</v>
      </c>
      <c r="F102" s="46" t="s">
        <v>6144</v>
      </c>
      <c r="G102" s="46" t="s">
        <v>6145</v>
      </c>
      <c r="H102" s="46" t="s">
        <v>1095</v>
      </c>
      <c r="I102" s="46" t="s">
        <v>1619</v>
      </c>
      <c r="J102" s="46" t="s">
        <v>1620</v>
      </c>
      <c r="K102" s="46" t="s">
        <v>1621</v>
      </c>
      <c r="L102" s="46" t="s">
        <v>1622</v>
      </c>
      <c r="M102" s="46" t="s">
        <v>1623</v>
      </c>
      <c r="N102" s="46" t="s">
        <v>1624</v>
      </c>
      <c r="O102" s="46" t="s">
        <v>1625</v>
      </c>
    </row>
    <row r="103" spans="2:15">
      <c r="B103" s="46" t="s">
        <v>279</v>
      </c>
      <c r="C103" s="46" t="s">
        <v>4816</v>
      </c>
      <c r="D103" s="46" t="s">
        <v>3328</v>
      </c>
      <c r="O103" s="46" t="s">
        <v>1632</v>
      </c>
    </row>
    <row r="104" spans="2:15">
      <c r="B104" s="46" t="s">
        <v>278</v>
      </c>
      <c r="C104" s="46" t="s">
        <v>4817</v>
      </c>
      <c r="D104" s="46" t="s">
        <v>3338</v>
      </c>
      <c r="I104" s="46" t="s">
        <v>1633</v>
      </c>
      <c r="J104" s="46" t="s">
        <v>1634</v>
      </c>
      <c r="K104" s="46" t="s">
        <v>1635</v>
      </c>
      <c r="L104" s="46" t="s">
        <v>1636</v>
      </c>
      <c r="M104" s="46" t="s">
        <v>1637</v>
      </c>
      <c r="N104" s="46" t="s">
        <v>1638</v>
      </c>
      <c r="O104" s="46" t="s">
        <v>1639</v>
      </c>
    </row>
    <row r="105" spans="2:15">
      <c r="B105" s="46" t="s">
        <v>277</v>
      </c>
      <c r="C105" s="46" t="s">
        <v>4818</v>
      </c>
      <c r="D105" s="46" t="s">
        <v>3348</v>
      </c>
      <c r="I105" s="46" t="s">
        <v>1640</v>
      </c>
      <c r="J105" s="46" t="s">
        <v>1641</v>
      </c>
      <c r="K105" s="46" t="s">
        <v>1642</v>
      </c>
      <c r="L105" s="46" t="s">
        <v>1643</v>
      </c>
      <c r="M105" s="46" t="s">
        <v>1644</v>
      </c>
      <c r="N105" s="46" t="s">
        <v>1645</v>
      </c>
      <c r="O105" s="46" t="s">
        <v>1646</v>
      </c>
    </row>
    <row r="106" spans="2:15">
      <c r="B106" s="46" t="s">
        <v>276</v>
      </c>
      <c r="C106" s="46" t="s">
        <v>4819</v>
      </c>
      <c r="D106" s="46" t="s">
        <v>3358</v>
      </c>
      <c r="I106" s="46" t="s">
        <v>1647</v>
      </c>
      <c r="J106" s="46" t="s">
        <v>1648</v>
      </c>
      <c r="K106" s="46" t="s">
        <v>1649</v>
      </c>
      <c r="L106" s="46" t="s">
        <v>1650</v>
      </c>
      <c r="M106" s="46" t="s">
        <v>1651</v>
      </c>
      <c r="N106" s="46" t="s">
        <v>1652</v>
      </c>
      <c r="O106" s="46" t="s">
        <v>1653</v>
      </c>
    </row>
    <row r="107" spans="2:15">
      <c r="B107" s="46" t="s">
        <v>275</v>
      </c>
      <c r="C107" s="46" t="s">
        <v>4820</v>
      </c>
      <c r="D107" s="46" t="s">
        <v>3368</v>
      </c>
      <c r="I107" s="46" t="s">
        <v>1654</v>
      </c>
      <c r="J107" s="46" t="s">
        <v>1655</v>
      </c>
      <c r="K107" s="46" t="s">
        <v>1656</v>
      </c>
      <c r="L107" s="46" t="s">
        <v>1657</v>
      </c>
      <c r="M107" s="46" t="s">
        <v>1658</v>
      </c>
      <c r="N107" s="46" t="s">
        <v>1659</v>
      </c>
      <c r="O107" s="46" t="s">
        <v>1660</v>
      </c>
    </row>
    <row r="108" spans="2:15">
      <c r="B108" s="46" t="s">
        <v>274</v>
      </c>
      <c r="C108" s="46" t="s">
        <v>4821</v>
      </c>
      <c r="D108" s="46" t="s">
        <v>3378</v>
      </c>
      <c r="I108" s="46" t="s">
        <v>1661</v>
      </c>
      <c r="J108" s="46" t="s">
        <v>1662</v>
      </c>
      <c r="K108" s="46" t="s">
        <v>1663</v>
      </c>
      <c r="L108" s="46" t="s">
        <v>1664</v>
      </c>
      <c r="M108" s="46" t="s">
        <v>1665</v>
      </c>
      <c r="N108" s="46" t="s">
        <v>1666</v>
      </c>
      <c r="O108" s="46" t="s">
        <v>1667</v>
      </c>
    </row>
    <row r="109" spans="2:15">
      <c r="B109" s="46" t="s">
        <v>273</v>
      </c>
      <c r="C109" s="46" t="s">
        <v>4822</v>
      </c>
      <c r="D109" s="46" t="s">
        <v>3388</v>
      </c>
      <c r="I109" s="46" t="s">
        <v>1668</v>
      </c>
      <c r="J109" s="46" t="s">
        <v>1669</v>
      </c>
      <c r="K109" s="46" t="s">
        <v>1670</v>
      </c>
      <c r="L109" s="46" t="s">
        <v>1671</v>
      </c>
      <c r="M109" s="46" t="s">
        <v>1672</v>
      </c>
      <c r="N109" s="46" t="s">
        <v>1673</v>
      </c>
      <c r="O109" s="46" t="s">
        <v>1674</v>
      </c>
    </row>
    <row r="110" spans="2:15">
      <c r="B110" s="46" t="s">
        <v>272</v>
      </c>
      <c r="C110" s="46" t="s">
        <v>4823</v>
      </c>
      <c r="D110" s="46" t="s">
        <v>3398</v>
      </c>
      <c r="I110" s="46" t="s">
        <v>1675</v>
      </c>
      <c r="J110" s="46" t="s">
        <v>1676</v>
      </c>
      <c r="K110" s="46" t="s">
        <v>1677</v>
      </c>
      <c r="L110" s="46" t="s">
        <v>1678</v>
      </c>
      <c r="M110" s="46" t="s">
        <v>1679</v>
      </c>
      <c r="N110" s="46" t="s">
        <v>1680</v>
      </c>
      <c r="O110" s="46" t="s">
        <v>1681</v>
      </c>
    </row>
    <row r="111" spans="2:15">
      <c r="B111" s="46" t="s">
        <v>271</v>
      </c>
      <c r="C111" s="46" t="s">
        <v>4824</v>
      </c>
      <c r="D111" s="46" t="s">
        <v>3408</v>
      </c>
      <c r="I111" s="46" t="s">
        <v>1682</v>
      </c>
      <c r="J111" s="46" t="s">
        <v>1683</v>
      </c>
      <c r="K111" s="46" t="s">
        <v>1684</v>
      </c>
      <c r="L111" s="46" t="s">
        <v>1685</v>
      </c>
      <c r="M111" s="46" t="s">
        <v>1686</v>
      </c>
      <c r="N111" s="46" t="s">
        <v>1687</v>
      </c>
      <c r="O111" s="46" t="s">
        <v>1688</v>
      </c>
    </row>
    <row r="112" spans="2:15">
      <c r="B112" s="46" t="s">
        <v>270</v>
      </c>
      <c r="C112" s="46" t="s">
        <v>4825</v>
      </c>
      <c r="D112" s="46" t="s">
        <v>3418</v>
      </c>
      <c r="I112" s="46" t="s">
        <v>1689</v>
      </c>
      <c r="J112" s="46" t="s">
        <v>1690</v>
      </c>
      <c r="K112" s="46" t="s">
        <v>1691</v>
      </c>
      <c r="L112" s="46" t="s">
        <v>1692</v>
      </c>
      <c r="M112" s="46" t="s">
        <v>1693</v>
      </c>
      <c r="N112" s="46" t="s">
        <v>1694</v>
      </c>
      <c r="O112" s="46" t="s">
        <v>1695</v>
      </c>
    </row>
    <row r="113" spans="2:15">
      <c r="B113" s="46" t="s">
        <v>269</v>
      </c>
      <c r="C113" s="46" t="s">
        <v>4826</v>
      </c>
      <c r="D113" s="46" t="s">
        <v>3428</v>
      </c>
      <c r="I113" s="46" t="s">
        <v>1696</v>
      </c>
      <c r="J113" s="46" t="s">
        <v>1697</v>
      </c>
      <c r="K113" s="46" t="s">
        <v>1698</v>
      </c>
      <c r="L113" s="46" t="s">
        <v>1699</v>
      </c>
      <c r="M113" s="46" t="s">
        <v>1700</v>
      </c>
      <c r="N113" s="46" t="s">
        <v>1701</v>
      </c>
      <c r="O113" s="46" t="s">
        <v>1702</v>
      </c>
    </row>
    <row r="114" spans="2:15">
      <c r="B114" s="46" t="s">
        <v>268</v>
      </c>
      <c r="C114" s="46" t="s">
        <v>4827</v>
      </c>
      <c r="D114" s="46" t="s">
        <v>3438</v>
      </c>
      <c r="I114" s="46" t="s">
        <v>1703</v>
      </c>
      <c r="J114" s="46" t="s">
        <v>1704</v>
      </c>
      <c r="K114" s="46" t="s">
        <v>1705</v>
      </c>
      <c r="L114" s="46" t="s">
        <v>1706</v>
      </c>
      <c r="M114" s="46" t="s">
        <v>1707</v>
      </c>
      <c r="N114" s="46" t="s">
        <v>1708</v>
      </c>
      <c r="O114" s="46" t="s">
        <v>1709</v>
      </c>
    </row>
    <row r="115" spans="2:15">
      <c r="B115" s="46" t="s">
        <v>267</v>
      </c>
      <c r="C115" s="46" t="s">
        <v>4828</v>
      </c>
      <c r="D115" s="46" t="s">
        <v>3448</v>
      </c>
      <c r="I115" s="46" t="s">
        <v>1710</v>
      </c>
      <c r="J115" s="46" t="s">
        <v>1711</v>
      </c>
      <c r="K115" s="46" t="s">
        <v>1712</v>
      </c>
      <c r="L115" s="46" t="s">
        <v>1713</v>
      </c>
      <c r="M115" s="46" t="s">
        <v>1714</v>
      </c>
      <c r="N115" s="46" t="s">
        <v>1715</v>
      </c>
      <c r="O115" s="46" t="s">
        <v>1716</v>
      </c>
    </row>
    <row r="116" spans="2:15">
      <c r="B116" s="46" t="s">
        <v>266</v>
      </c>
      <c r="C116" s="46" t="s">
        <v>4829</v>
      </c>
      <c r="D116" s="46" t="s">
        <v>3458</v>
      </c>
      <c r="I116" s="46" t="s">
        <v>1718</v>
      </c>
      <c r="J116" s="46" t="s">
        <v>1719</v>
      </c>
      <c r="K116" s="46" t="s">
        <v>1720</v>
      </c>
      <c r="L116" s="46" t="s">
        <v>1721</v>
      </c>
      <c r="M116" s="46" t="s">
        <v>1722</v>
      </c>
      <c r="N116" s="46" t="s">
        <v>1723</v>
      </c>
      <c r="O116" s="46" t="s">
        <v>1724</v>
      </c>
    </row>
    <row r="117" spans="2:15">
      <c r="B117" s="46" t="s">
        <v>265</v>
      </c>
      <c r="C117" s="46" t="s">
        <v>4832</v>
      </c>
      <c r="D117" s="46" t="s">
        <v>3468</v>
      </c>
      <c r="I117" s="46" t="s">
        <v>1726</v>
      </c>
      <c r="J117" s="46" t="s">
        <v>1727</v>
      </c>
      <c r="K117" s="46" t="s">
        <v>1728</v>
      </c>
      <c r="L117" s="46" t="s">
        <v>1729</v>
      </c>
      <c r="M117" s="46" t="s">
        <v>1730</v>
      </c>
      <c r="N117" s="46" t="s">
        <v>1731</v>
      </c>
      <c r="O117" s="46" t="s">
        <v>1732</v>
      </c>
    </row>
    <row r="118" spans="2:15">
      <c r="B118" s="46" t="s">
        <v>264</v>
      </c>
      <c r="C118" s="46" t="s">
        <v>4835</v>
      </c>
      <c r="D118" s="46" t="s">
        <v>3478</v>
      </c>
      <c r="I118" s="46" t="s">
        <v>2363</v>
      </c>
      <c r="J118" s="46" t="s">
        <v>2364</v>
      </c>
      <c r="K118" s="46" t="s">
        <v>2365</v>
      </c>
      <c r="L118" s="46" t="s">
        <v>2366</v>
      </c>
      <c r="M118" s="46" t="s">
        <v>2367</v>
      </c>
      <c r="N118" s="46" t="s">
        <v>2368</v>
      </c>
      <c r="O118" s="46" t="s">
        <v>1733</v>
      </c>
    </row>
    <row r="119" spans="2:15">
      <c r="B119" s="46" t="s">
        <v>263</v>
      </c>
      <c r="C119" s="46" t="s">
        <v>4836</v>
      </c>
      <c r="D119" s="46" t="s">
        <v>3488</v>
      </c>
      <c r="I119" s="46" t="s">
        <v>1734</v>
      </c>
      <c r="J119" s="46" t="s">
        <v>1735</v>
      </c>
      <c r="K119" s="46" t="s">
        <v>1736</v>
      </c>
      <c r="L119" s="46" t="s">
        <v>1737</v>
      </c>
      <c r="M119" s="46" t="s">
        <v>1738</v>
      </c>
      <c r="N119" s="46" t="s">
        <v>1739</v>
      </c>
      <c r="O119" s="46" t="s">
        <v>1740</v>
      </c>
    </row>
    <row r="120" spans="2:15">
      <c r="B120" s="46" t="s">
        <v>262</v>
      </c>
      <c r="C120" s="46" t="s">
        <v>4837</v>
      </c>
      <c r="D120" s="46" t="s">
        <v>3498</v>
      </c>
      <c r="I120" s="46" t="s">
        <v>1741</v>
      </c>
      <c r="J120" s="46" t="s">
        <v>1742</v>
      </c>
      <c r="K120" s="46" t="s">
        <v>1743</v>
      </c>
      <c r="L120" s="46" t="s">
        <v>1744</v>
      </c>
      <c r="M120" s="46" t="s">
        <v>1745</v>
      </c>
      <c r="N120" s="46" t="s">
        <v>1746</v>
      </c>
      <c r="O120" s="46" t="s">
        <v>1747</v>
      </c>
    </row>
    <row r="121" spans="2:15">
      <c r="B121" s="46" t="s">
        <v>261</v>
      </c>
      <c r="C121" s="46" t="s">
        <v>4838</v>
      </c>
      <c r="D121" s="46" t="s">
        <v>3508</v>
      </c>
      <c r="I121" s="46" t="s">
        <v>1748</v>
      </c>
      <c r="J121" s="46" t="s">
        <v>1749</v>
      </c>
      <c r="K121" s="46" t="s">
        <v>1750</v>
      </c>
      <c r="L121" s="46" t="s">
        <v>1751</v>
      </c>
      <c r="M121" s="46" t="s">
        <v>1752</v>
      </c>
      <c r="N121" s="46" t="s">
        <v>1753</v>
      </c>
      <c r="O121" s="46" t="s">
        <v>1754</v>
      </c>
    </row>
    <row r="122" spans="2:15">
      <c r="B122" s="46" t="s">
        <v>260</v>
      </c>
      <c r="C122" s="46" t="s">
        <v>4839</v>
      </c>
      <c r="D122" s="46" t="s">
        <v>3518</v>
      </c>
      <c r="I122" s="46" t="s">
        <v>1755</v>
      </c>
      <c r="J122" s="46" t="s">
        <v>1756</v>
      </c>
      <c r="K122" s="46" t="s">
        <v>1757</v>
      </c>
      <c r="L122" s="46" t="s">
        <v>1758</v>
      </c>
      <c r="M122" s="46" t="s">
        <v>1759</v>
      </c>
      <c r="N122" s="46" t="s">
        <v>1760</v>
      </c>
      <c r="O122" s="46" t="s">
        <v>1761</v>
      </c>
    </row>
    <row r="123" spans="2:15">
      <c r="B123" s="46" t="s">
        <v>259</v>
      </c>
      <c r="C123" s="46" t="s">
        <v>4840</v>
      </c>
      <c r="D123" s="46" t="s">
        <v>3528</v>
      </c>
      <c r="I123" s="46" t="s">
        <v>1762</v>
      </c>
      <c r="J123" s="46" t="s">
        <v>1763</v>
      </c>
      <c r="K123" s="46" t="s">
        <v>1764</v>
      </c>
      <c r="L123" s="46" t="s">
        <v>1765</v>
      </c>
      <c r="M123" s="46" t="s">
        <v>1766</v>
      </c>
      <c r="N123" s="46" t="s">
        <v>1767</v>
      </c>
      <c r="O123" s="46" t="s">
        <v>1768</v>
      </c>
    </row>
    <row r="124" spans="2:15">
      <c r="B124" s="46" t="s">
        <v>258</v>
      </c>
      <c r="C124" s="46" t="s">
        <v>4841</v>
      </c>
      <c r="D124" s="46" t="s">
        <v>3538</v>
      </c>
      <c r="I124" s="46" t="s">
        <v>1769</v>
      </c>
      <c r="J124" s="46" t="s">
        <v>1770</v>
      </c>
      <c r="K124" s="46" t="s">
        <v>1771</v>
      </c>
      <c r="L124" s="46" t="s">
        <v>1772</v>
      </c>
      <c r="M124" s="46" t="s">
        <v>1773</v>
      </c>
      <c r="N124" s="46" t="s">
        <v>1774</v>
      </c>
      <c r="O124" s="46" t="s">
        <v>1775</v>
      </c>
    </row>
    <row r="125" spans="2:15">
      <c r="B125" s="46" t="s">
        <v>257</v>
      </c>
      <c r="C125" s="46" t="s">
        <v>4842</v>
      </c>
      <c r="D125" s="46" t="s">
        <v>3548</v>
      </c>
      <c r="I125" s="46" t="s">
        <v>1776</v>
      </c>
      <c r="J125" s="46" t="s">
        <v>1777</v>
      </c>
      <c r="K125" s="46" t="s">
        <v>1778</v>
      </c>
      <c r="L125" s="46" t="s">
        <v>1779</v>
      </c>
      <c r="M125" s="46" t="s">
        <v>1780</v>
      </c>
      <c r="N125" s="46" t="s">
        <v>1781</v>
      </c>
      <c r="O125" s="46" t="s">
        <v>1782</v>
      </c>
    </row>
    <row r="126" spans="2:15">
      <c r="B126" s="46" t="s">
        <v>256</v>
      </c>
      <c r="C126" s="46" t="s">
        <v>4843</v>
      </c>
      <c r="D126" s="46" t="s">
        <v>3558</v>
      </c>
      <c r="I126" s="46" t="s">
        <v>1783</v>
      </c>
      <c r="J126" s="46" t="s">
        <v>1784</v>
      </c>
      <c r="K126" s="46" t="s">
        <v>1785</v>
      </c>
      <c r="L126" s="46" t="s">
        <v>1786</v>
      </c>
      <c r="M126" s="46" t="s">
        <v>1787</v>
      </c>
      <c r="N126" s="46" t="s">
        <v>1788</v>
      </c>
      <c r="O126" s="46" t="s">
        <v>1789</v>
      </c>
    </row>
    <row r="127" spans="2:15">
      <c r="B127" s="46" t="s">
        <v>255</v>
      </c>
      <c r="C127" s="46" t="s">
        <v>4844</v>
      </c>
      <c r="D127" s="46" t="s">
        <v>3568</v>
      </c>
      <c r="I127" s="46" t="s">
        <v>1790</v>
      </c>
      <c r="J127" s="46" t="s">
        <v>1791</v>
      </c>
      <c r="K127" s="46" t="s">
        <v>1792</v>
      </c>
      <c r="L127" s="46" t="s">
        <v>1793</v>
      </c>
      <c r="M127" s="46" t="s">
        <v>1794</v>
      </c>
      <c r="N127" s="46" t="s">
        <v>1795</v>
      </c>
      <c r="O127" s="46" t="s">
        <v>1796</v>
      </c>
    </row>
    <row r="128" spans="2:15">
      <c r="B128" s="46" t="s">
        <v>254</v>
      </c>
      <c r="C128" s="46" t="s">
        <v>4845</v>
      </c>
      <c r="D128" s="46" t="s">
        <v>3578</v>
      </c>
      <c r="I128" s="46" t="s">
        <v>1797</v>
      </c>
      <c r="J128" s="46" t="s">
        <v>1798</v>
      </c>
      <c r="K128" s="46" t="s">
        <v>1799</v>
      </c>
      <c r="L128" s="46" t="s">
        <v>1800</v>
      </c>
      <c r="M128" s="46" t="s">
        <v>1801</v>
      </c>
      <c r="N128" s="46" t="s">
        <v>1802</v>
      </c>
      <c r="O128" s="46" t="s">
        <v>1803</v>
      </c>
    </row>
    <row r="129" spans="2:15">
      <c r="B129" s="46" t="s">
        <v>253</v>
      </c>
      <c r="C129" s="46" t="s">
        <v>4846</v>
      </c>
      <c r="D129" s="46" t="s">
        <v>3588</v>
      </c>
      <c r="I129" s="46" t="s">
        <v>1804</v>
      </c>
      <c r="J129" s="46" t="s">
        <v>1805</v>
      </c>
      <c r="K129" s="46" t="s">
        <v>1806</v>
      </c>
      <c r="L129" s="46" t="s">
        <v>1807</v>
      </c>
      <c r="M129" s="46" t="s">
        <v>1808</v>
      </c>
      <c r="N129" s="46" t="s">
        <v>1809</v>
      </c>
      <c r="O129" s="46" t="s">
        <v>1810</v>
      </c>
    </row>
    <row r="130" spans="2:15">
      <c r="B130" s="46" t="s">
        <v>249</v>
      </c>
      <c r="C130" s="46" t="s">
        <v>4847</v>
      </c>
      <c r="D130" s="46" t="s">
        <v>3598</v>
      </c>
      <c r="E130" s="46" t="s">
        <v>252</v>
      </c>
      <c r="F130" s="46" t="s">
        <v>6146</v>
      </c>
      <c r="G130" s="46" t="s">
        <v>6147</v>
      </c>
      <c r="H130" s="46" t="s">
        <v>1095</v>
      </c>
      <c r="I130" s="46" t="s">
        <v>1811</v>
      </c>
      <c r="J130" s="46" t="s">
        <v>1812</v>
      </c>
      <c r="K130" s="46" t="s">
        <v>1813</v>
      </c>
      <c r="L130" s="46" t="s">
        <v>1814</v>
      </c>
      <c r="M130" s="46" t="s">
        <v>1815</v>
      </c>
      <c r="N130" s="46" t="s">
        <v>1816</v>
      </c>
      <c r="O130" s="46" t="s">
        <v>1817</v>
      </c>
    </row>
    <row r="131" spans="2:15">
      <c r="B131" s="46" t="s">
        <v>249</v>
      </c>
      <c r="C131" s="46" t="s">
        <v>4848</v>
      </c>
      <c r="D131" s="46" t="s">
        <v>3608</v>
      </c>
      <c r="E131" s="46" t="s">
        <v>251</v>
      </c>
      <c r="F131" s="46" t="s">
        <v>6148</v>
      </c>
      <c r="G131" s="46" t="s">
        <v>6149</v>
      </c>
      <c r="H131" s="46" t="s">
        <v>1095</v>
      </c>
      <c r="I131" s="46" t="s">
        <v>1818</v>
      </c>
      <c r="J131" s="46" t="s">
        <v>1819</v>
      </c>
      <c r="K131" s="46" t="s">
        <v>1820</v>
      </c>
      <c r="L131" s="46" t="s">
        <v>1821</v>
      </c>
      <c r="M131" s="46" t="s">
        <v>1822</v>
      </c>
      <c r="N131" s="46" t="s">
        <v>1823</v>
      </c>
      <c r="O131" s="46" t="s">
        <v>1824</v>
      </c>
    </row>
    <row r="132" spans="2:15">
      <c r="B132" s="46" t="s">
        <v>249</v>
      </c>
      <c r="C132" s="46" t="s">
        <v>4849</v>
      </c>
      <c r="D132" s="46" t="s">
        <v>3618</v>
      </c>
      <c r="E132" s="46" t="s">
        <v>250</v>
      </c>
      <c r="F132" s="46" t="s">
        <v>6150</v>
      </c>
      <c r="G132" s="46" t="s">
        <v>6151</v>
      </c>
      <c r="H132" s="46" t="s">
        <v>1095</v>
      </c>
      <c r="I132" s="46" t="s">
        <v>1825</v>
      </c>
      <c r="J132" s="46" t="s">
        <v>1826</v>
      </c>
      <c r="K132" s="46" t="s">
        <v>1827</v>
      </c>
      <c r="L132" s="46" t="s">
        <v>1828</v>
      </c>
      <c r="M132" s="46" t="s">
        <v>1829</v>
      </c>
      <c r="N132" s="46" t="s">
        <v>1830</v>
      </c>
      <c r="O132" s="46" t="s">
        <v>1831</v>
      </c>
    </row>
    <row r="133" spans="2:15">
      <c r="B133" s="46" t="s">
        <v>249</v>
      </c>
      <c r="C133" s="46" t="s">
        <v>4850</v>
      </c>
      <c r="D133" s="46" t="s">
        <v>3628</v>
      </c>
      <c r="O133" s="46" t="s">
        <v>1838</v>
      </c>
    </row>
    <row r="134" spans="2:15">
      <c r="B134" s="46" t="s">
        <v>248</v>
      </c>
      <c r="C134" s="46" t="s">
        <v>4851</v>
      </c>
      <c r="D134" s="46" t="s">
        <v>3638</v>
      </c>
      <c r="I134" s="46" t="s">
        <v>1839</v>
      </c>
      <c r="J134" s="46" t="s">
        <v>1840</v>
      </c>
      <c r="K134" s="46" t="s">
        <v>1841</v>
      </c>
      <c r="L134" s="46" t="s">
        <v>1842</v>
      </c>
      <c r="M134" s="46" t="s">
        <v>1843</v>
      </c>
      <c r="N134" s="46" t="s">
        <v>1844</v>
      </c>
      <c r="O134" s="46" t="s">
        <v>1845</v>
      </c>
    </row>
    <row r="135" spans="2:15">
      <c r="B135" s="46" t="s">
        <v>247</v>
      </c>
      <c r="C135" s="46" t="s">
        <v>4852</v>
      </c>
      <c r="D135" s="46" t="s">
        <v>3648</v>
      </c>
      <c r="I135" s="46" t="s">
        <v>1846</v>
      </c>
      <c r="J135" s="46" t="s">
        <v>1847</v>
      </c>
      <c r="K135" s="46" t="s">
        <v>1848</v>
      </c>
      <c r="L135" s="46" t="s">
        <v>1849</v>
      </c>
      <c r="M135" s="46" t="s">
        <v>1850</v>
      </c>
      <c r="N135" s="46" t="s">
        <v>1851</v>
      </c>
      <c r="O135" s="46" t="s">
        <v>1852</v>
      </c>
    </row>
    <row r="136" spans="2:15">
      <c r="B136" s="46" t="s">
        <v>246</v>
      </c>
      <c r="C136" s="46" t="s">
        <v>4853</v>
      </c>
      <c r="D136" s="46" t="s">
        <v>3658</v>
      </c>
      <c r="I136" s="46" t="s">
        <v>1853</v>
      </c>
      <c r="J136" s="46" t="s">
        <v>1854</v>
      </c>
      <c r="K136" s="46" t="s">
        <v>1855</v>
      </c>
      <c r="L136" s="46" t="s">
        <v>1856</v>
      </c>
      <c r="M136" s="46" t="s">
        <v>1857</v>
      </c>
      <c r="N136" s="46" t="s">
        <v>1858</v>
      </c>
      <c r="O136" s="46" t="s">
        <v>1859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636203-6B68-4ECA-8252-55EBC53D0E3D}">
  <dimension ref="A1:O136"/>
  <sheetViews>
    <sheetView workbookViewId="0"/>
  </sheetViews>
  <sheetFormatPr baseColWidth="10" defaultColWidth="9.140625" defaultRowHeight="15"/>
  <sheetData>
    <row r="1" spans="1:15">
      <c r="A1" s="46" t="s">
        <v>2369</v>
      </c>
      <c r="B1" s="46" t="s">
        <v>0</v>
      </c>
      <c r="C1" s="46" t="s">
        <v>0</v>
      </c>
      <c r="D1" s="46" t="s">
        <v>0</v>
      </c>
      <c r="E1" s="46" t="s">
        <v>0</v>
      </c>
      <c r="F1" s="46" t="s">
        <v>0</v>
      </c>
      <c r="G1" s="46" t="s">
        <v>0</v>
      </c>
      <c r="H1" s="46" t="s">
        <v>0</v>
      </c>
      <c r="I1" s="46" t="s">
        <v>0</v>
      </c>
      <c r="J1" s="46" t="s">
        <v>0</v>
      </c>
      <c r="K1" s="46" t="s">
        <v>0</v>
      </c>
      <c r="L1" s="46" t="s">
        <v>0</v>
      </c>
      <c r="M1" s="46" t="s">
        <v>0</v>
      </c>
      <c r="N1" s="46" t="s">
        <v>0</v>
      </c>
      <c r="O1" s="46" t="s">
        <v>0</v>
      </c>
    </row>
    <row r="3" spans="1:15">
      <c r="B3" s="46" t="s">
        <v>373</v>
      </c>
    </row>
    <row r="5" spans="1:15">
      <c r="I5" s="46" t="s">
        <v>2</v>
      </c>
    </row>
    <row r="6" spans="1:15">
      <c r="B6" s="46" t="s">
        <v>3</v>
      </c>
      <c r="C6" s="46" t="s">
        <v>4</v>
      </c>
      <c r="D6" s="46" t="s">
        <v>1040</v>
      </c>
      <c r="E6" s="46" t="s">
        <v>5</v>
      </c>
      <c r="G6" s="46" t="s">
        <v>1041</v>
      </c>
      <c r="H6" s="46" t="s">
        <v>6</v>
      </c>
      <c r="I6" s="46" t="s">
        <v>7</v>
      </c>
      <c r="J6" s="46" t="s">
        <v>8</v>
      </c>
      <c r="K6" s="46" t="s">
        <v>9</v>
      </c>
      <c r="L6" s="46" t="s">
        <v>10</v>
      </c>
      <c r="M6" s="46" t="s">
        <v>11</v>
      </c>
      <c r="N6" s="46" t="s">
        <v>12</v>
      </c>
      <c r="O6" s="46" t="s">
        <v>13</v>
      </c>
    </row>
    <row r="7" spans="1:15">
      <c r="B7" s="46" t="s">
        <v>372</v>
      </c>
      <c r="C7" s="46" t="s">
        <v>1043</v>
      </c>
      <c r="D7" s="46" t="s">
        <v>1043</v>
      </c>
      <c r="E7" s="46" t="s">
        <v>371</v>
      </c>
      <c r="F7" s="46" t="s">
        <v>1043</v>
      </c>
      <c r="G7" s="46" t="s">
        <v>1043</v>
      </c>
      <c r="H7" s="46" t="s">
        <v>1095</v>
      </c>
      <c r="I7" s="46" t="s">
        <v>2242</v>
      </c>
      <c r="J7" s="46" t="s">
        <v>2243</v>
      </c>
      <c r="K7" s="46" t="s">
        <v>2244</v>
      </c>
      <c r="L7" s="46" t="s">
        <v>2245</v>
      </c>
      <c r="M7" s="46" t="s">
        <v>2246</v>
      </c>
      <c r="N7" s="46" t="s">
        <v>2247</v>
      </c>
      <c r="O7" s="46" t="s">
        <v>2248</v>
      </c>
    </row>
    <row r="8" spans="1:15">
      <c r="B8" s="46" t="s">
        <v>372</v>
      </c>
      <c r="C8" s="46" t="s">
        <v>1043</v>
      </c>
      <c r="D8" s="46" t="s">
        <v>1043</v>
      </c>
      <c r="E8" s="46" t="s">
        <v>254</v>
      </c>
      <c r="F8" s="46" t="s">
        <v>1043</v>
      </c>
      <c r="G8" s="46" t="s">
        <v>1043</v>
      </c>
      <c r="H8" s="46" t="s">
        <v>1095</v>
      </c>
      <c r="I8" s="46" t="s">
        <v>1045</v>
      </c>
      <c r="J8" s="46" t="s">
        <v>1046</v>
      </c>
      <c r="K8" s="46" t="s">
        <v>1047</v>
      </c>
      <c r="L8" s="46" t="s">
        <v>1048</v>
      </c>
      <c r="M8" s="46" t="s">
        <v>1049</v>
      </c>
      <c r="N8" s="46" t="s">
        <v>1050</v>
      </c>
      <c r="O8" s="46" t="s">
        <v>1051</v>
      </c>
    </row>
    <row r="9" spans="1:15">
      <c r="B9" s="46" t="s">
        <v>372</v>
      </c>
      <c r="C9" s="46" t="s">
        <v>1043</v>
      </c>
      <c r="D9" s="46" t="s">
        <v>1043</v>
      </c>
      <c r="O9" s="46" t="s">
        <v>1059</v>
      </c>
    </row>
    <row r="10" spans="1:15">
      <c r="B10" s="46" t="s">
        <v>370</v>
      </c>
      <c r="C10" s="46" t="s">
        <v>1043</v>
      </c>
      <c r="D10" s="46" t="s">
        <v>1043</v>
      </c>
      <c r="E10" s="46" t="s">
        <v>371</v>
      </c>
      <c r="F10" s="46" t="s">
        <v>1043</v>
      </c>
      <c r="G10" s="46" t="s">
        <v>1043</v>
      </c>
      <c r="H10" s="46" t="s">
        <v>1095</v>
      </c>
      <c r="I10" s="46" t="s">
        <v>2249</v>
      </c>
      <c r="J10" s="46" t="s">
        <v>2250</v>
      </c>
      <c r="K10" s="46" t="s">
        <v>2251</v>
      </c>
      <c r="L10" s="46" t="s">
        <v>2252</v>
      </c>
      <c r="M10" s="46" t="s">
        <v>2253</v>
      </c>
      <c r="N10" s="46" t="s">
        <v>2254</v>
      </c>
      <c r="O10" s="46" t="s">
        <v>1060</v>
      </c>
    </row>
    <row r="11" spans="1:15">
      <c r="B11" s="46" t="s">
        <v>370</v>
      </c>
      <c r="C11" s="46" t="s">
        <v>1043</v>
      </c>
      <c r="D11" s="46" t="s">
        <v>1043</v>
      </c>
      <c r="E11" s="46" t="s">
        <v>253</v>
      </c>
      <c r="F11" s="46" t="s">
        <v>1043</v>
      </c>
      <c r="G11" s="46" t="s">
        <v>1043</v>
      </c>
      <c r="H11" s="46" t="s">
        <v>1095</v>
      </c>
      <c r="I11" s="46" t="s">
        <v>1062</v>
      </c>
      <c r="J11" s="46" t="s">
        <v>1063</v>
      </c>
      <c r="K11" s="46" t="s">
        <v>1064</v>
      </c>
      <c r="L11" s="46" t="s">
        <v>1065</v>
      </c>
      <c r="M11" s="46" t="s">
        <v>1066</v>
      </c>
      <c r="N11" s="46" t="s">
        <v>1067</v>
      </c>
      <c r="O11" s="46" t="s">
        <v>1068</v>
      </c>
    </row>
    <row r="12" spans="1:15">
      <c r="B12" s="46" t="s">
        <v>370</v>
      </c>
      <c r="C12" s="46" t="s">
        <v>1043</v>
      </c>
      <c r="D12" s="46" t="s">
        <v>1043</v>
      </c>
      <c r="O12" s="46" t="s">
        <v>1076</v>
      </c>
    </row>
    <row r="13" spans="1:15">
      <c r="B13" s="46" t="s">
        <v>367</v>
      </c>
      <c r="C13" s="46" t="s">
        <v>1043</v>
      </c>
      <c r="D13" s="46" t="s">
        <v>1043</v>
      </c>
      <c r="E13" s="46" t="s">
        <v>369</v>
      </c>
      <c r="F13" s="46" t="s">
        <v>1043</v>
      </c>
      <c r="G13" s="46" t="s">
        <v>1043</v>
      </c>
      <c r="H13" s="46" t="s">
        <v>1095</v>
      </c>
      <c r="I13" s="46" t="s">
        <v>2255</v>
      </c>
      <c r="J13" s="46" t="s">
        <v>2256</v>
      </c>
      <c r="K13" s="46" t="s">
        <v>2257</v>
      </c>
      <c r="L13" s="46" t="s">
        <v>2258</v>
      </c>
      <c r="M13" s="46" t="s">
        <v>2259</v>
      </c>
      <c r="N13" s="46" t="s">
        <v>2260</v>
      </c>
      <c r="O13" s="46" t="s">
        <v>1077</v>
      </c>
    </row>
    <row r="14" spans="1:15">
      <c r="B14" s="46" t="s">
        <v>367</v>
      </c>
      <c r="C14" s="46" t="s">
        <v>1043</v>
      </c>
      <c r="D14" s="46" t="s">
        <v>1043</v>
      </c>
      <c r="E14" s="46" t="s">
        <v>368</v>
      </c>
      <c r="F14" s="46" t="s">
        <v>1043</v>
      </c>
      <c r="G14" s="46" t="s">
        <v>1043</v>
      </c>
      <c r="H14" s="46" t="s">
        <v>1095</v>
      </c>
      <c r="I14" s="46" t="s">
        <v>1079</v>
      </c>
      <c r="J14" s="46" t="s">
        <v>1080</v>
      </c>
      <c r="K14" s="46" t="s">
        <v>1081</v>
      </c>
      <c r="L14" s="46" t="s">
        <v>1082</v>
      </c>
      <c r="M14" s="46" t="s">
        <v>1083</v>
      </c>
      <c r="N14" s="46" t="s">
        <v>1084</v>
      </c>
      <c r="O14" s="46" t="s">
        <v>1085</v>
      </c>
    </row>
    <row r="15" spans="1:15">
      <c r="B15" s="46" t="s">
        <v>367</v>
      </c>
      <c r="C15" s="46" t="s">
        <v>1043</v>
      </c>
      <c r="D15" s="46" t="s">
        <v>1043</v>
      </c>
      <c r="O15" s="46" t="s">
        <v>1093</v>
      </c>
    </row>
    <row r="16" spans="1:15">
      <c r="B16" s="46" t="s">
        <v>364</v>
      </c>
      <c r="C16" s="46" t="s">
        <v>1043</v>
      </c>
      <c r="D16" s="46" t="s">
        <v>1043</v>
      </c>
      <c r="E16" s="46" t="s">
        <v>366</v>
      </c>
      <c r="F16" s="46" t="s">
        <v>1043</v>
      </c>
      <c r="G16" s="46" t="s">
        <v>1043</v>
      </c>
      <c r="H16" s="46" t="s">
        <v>1095</v>
      </c>
      <c r="I16" s="46" t="s">
        <v>2261</v>
      </c>
      <c r="J16" s="46" t="s">
        <v>2262</v>
      </c>
      <c r="K16" s="46" t="s">
        <v>2263</v>
      </c>
      <c r="L16" s="46" t="s">
        <v>2264</v>
      </c>
      <c r="M16" s="46" t="s">
        <v>2265</v>
      </c>
      <c r="N16" s="46" t="s">
        <v>2266</v>
      </c>
      <c r="O16" s="46" t="s">
        <v>1094</v>
      </c>
    </row>
    <row r="17" spans="2:15">
      <c r="B17" s="46" t="s">
        <v>364</v>
      </c>
      <c r="C17" s="46" t="s">
        <v>1043</v>
      </c>
      <c r="D17" s="46" t="s">
        <v>1043</v>
      </c>
      <c r="E17" s="46" t="s">
        <v>365</v>
      </c>
      <c r="F17" s="46" t="s">
        <v>1043</v>
      </c>
      <c r="G17" s="46" t="s">
        <v>1043</v>
      </c>
      <c r="H17" s="46" t="s">
        <v>1095</v>
      </c>
      <c r="I17" s="46" t="s">
        <v>1096</v>
      </c>
      <c r="J17" s="46" t="s">
        <v>1097</v>
      </c>
      <c r="K17" s="46" t="s">
        <v>1098</v>
      </c>
      <c r="L17" s="46" t="s">
        <v>1099</v>
      </c>
      <c r="M17" s="46" t="s">
        <v>1100</v>
      </c>
      <c r="N17" s="46" t="s">
        <v>1101</v>
      </c>
      <c r="O17" s="46" t="s">
        <v>1102</v>
      </c>
    </row>
    <row r="18" spans="2:15">
      <c r="B18" s="46" t="s">
        <v>364</v>
      </c>
      <c r="C18" s="46" t="s">
        <v>1043</v>
      </c>
      <c r="D18" s="46" t="s">
        <v>1043</v>
      </c>
      <c r="O18" s="46" t="s">
        <v>1109</v>
      </c>
    </row>
    <row r="19" spans="2:15">
      <c r="B19" s="46" t="s">
        <v>361</v>
      </c>
      <c r="C19" s="46" t="s">
        <v>1043</v>
      </c>
      <c r="D19" s="46" t="s">
        <v>1043</v>
      </c>
      <c r="E19" s="46" t="s">
        <v>363</v>
      </c>
      <c r="F19" s="46" t="s">
        <v>1043</v>
      </c>
      <c r="G19" s="46" t="s">
        <v>1043</v>
      </c>
      <c r="H19" s="46" t="s">
        <v>1095</v>
      </c>
      <c r="I19" s="46" t="s">
        <v>1111</v>
      </c>
      <c r="J19" s="46" t="s">
        <v>1112</v>
      </c>
      <c r="K19" s="46" t="s">
        <v>1113</v>
      </c>
      <c r="L19" s="46" t="s">
        <v>1114</v>
      </c>
      <c r="M19" s="46" t="s">
        <v>1115</v>
      </c>
      <c r="N19" s="46" t="s">
        <v>1116</v>
      </c>
      <c r="O19" s="46" t="s">
        <v>1117</v>
      </c>
    </row>
    <row r="20" spans="2:15">
      <c r="B20" s="46" t="s">
        <v>361</v>
      </c>
      <c r="C20" s="46" t="s">
        <v>1043</v>
      </c>
      <c r="D20" s="46" t="s">
        <v>1043</v>
      </c>
      <c r="E20" s="46" t="s">
        <v>362</v>
      </c>
      <c r="F20" s="46" t="s">
        <v>1043</v>
      </c>
      <c r="G20" s="46" t="s">
        <v>1043</v>
      </c>
      <c r="H20" s="46" t="s">
        <v>1095</v>
      </c>
      <c r="I20" s="46" t="s">
        <v>1119</v>
      </c>
      <c r="J20" s="46" t="s">
        <v>1120</v>
      </c>
      <c r="K20" s="46" t="s">
        <v>1121</v>
      </c>
      <c r="L20" s="46" t="s">
        <v>1122</v>
      </c>
      <c r="M20" s="46" t="s">
        <v>1123</v>
      </c>
      <c r="N20" s="46" t="s">
        <v>1124</v>
      </c>
      <c r="O20" s="46" t="s">
        <v>1125</v>
      </c>
    </row>
    <row r="21" spans="2:15">
      <c r="B21" s="46" t="s">
        <v>361</v>
      </c>
      <c r="C21" s="46" t="s">
        <v>1043</v>
      </c>
      <c r="D21" s="46" t="s">
        <v>1043</v>
      </c>
      <c r="O21" s="46" t="s">
        <v>1126</v>
      </c>
    </row>
    <row r="22" spans="2:15">
      <c r="B22" s="46" t="s">
        <v>360</v>
      </c>
      <c r="C22" s="46" t="s">
        <v>1043</v>
      </c>
      <c r="D22" s="46" t="s">
        <v>1043</v>
      </c>
      <c r="I22" s="46" t="s">
        <v>1128</v>
      </c>
      <c r="J22" s="46" t="s">
        <v>1129</v>
      </c>
      <c r="K22" s="46" t="s">
        <v>1130</v>
      </c>
      <c r="L22" s="46" t="s">
        <v>1131</v>
      </c>
      <c r="M22" s="46" t="s">
        <v>1132</v>
      </c>
      <c r="N22" s="46" t="s">
        <v>1133</v>
      </c>
      <c r="O22" s="46" t="s">
        <v>1134</v>
      </c>
    </row>
    <row r="23" spans="2:15">
      <c r="B23" s="46" t="s">
        <v>357</v>
      </c>
      <c r="C23" s="46" t="s">
        <v>1043</v>
      </c>
      <c r="D23" s="46" t="s">
        <v>1043</v>
      </c>
      <c r="E23" s="46" t="s">
        <v>359</v>
      </c>
      <c r="F23" s="46" t="s">
        <v>1043</v>
      </c>
      <c r="G23" s="46" t="s">
        <v>1043</v>
      </c>
      <c r="H23" s="46" t="s">
        <v>1095</v>
      </c>
      <c r="I23" s="46" t="s">
        <v>1136</v>
      </c>
      <c r="J23" s="46" t="s">
        <v>1137</v>
      </c>
      <c r="K23" s="46" t="s">
        <v>1138</v>
      </c>
      <c r="L23" s="46" t="s">
        <v>1139</v>
      </c>
      <c r="M23" s="46" t="s">
        <v>1140</v>
      </c>
      <c r="N23" s="46" t="s">
        <v>1141</v>
      </c>
      <c r="O23" s="46" t="s">
        <v>1142</v>
      </c>
    </row>
    <row r="24" spans="2:15">
      <c r="B24" s="46" t="s">
        <v>357</v>
      </c>
      <c r="C24" s="46" t="s">
        <v>1043</v>
      </c>
      <c r="D24" s="46" t="s">
        <v>1043</v>
      </c>
      <c r="E24" s="46" t="s">
        <v>358</v>
      </c>
      <c r="F24" s="46" t="s">
        <v>1043</v>
      </c>
      <c r="G24" s="46" t="s">
        <v>1043</v>
      </c>
      <c r="H24" s="46" t="s">
        <v>1095</v>
      </c>
      <c r="I24" s="46" t="s">
        <v>2267</v>
      </c>
      <c r="J24" s="46" t="s">
        <v>2268</v>
      </c>
      <c r="K24" s="46" t="s">
        <v>2269</v>
      </c>
      <c r="L24" s="46" t="s">
        <v>2270</v>
      </c>
      <c r="M24" s="46" t="s">
        <v>2271</v>
      </c>
      <c r="N24" s="46" t="s">
        <v>2272</v>
      </c>
      <c r="O24" s="46" t="s">
        <v>1143</v>
      </c>
    </row>
    <row r="25" spans="2:15">
      <c r="B25" s="46" t="s">
        <v>357</v>
      </c>
      <c r="C25" s="46" t="s">
        <v>1043</v>
      </c>
      <c r="D25" s="46" t="s">
        <v>1043</v>
      </c>
      <c r="O25" s="46" t="s">
        <v>1151</v>
      </c>
    </row>
    <row r="26" spans="2:15">
      <c r="B26" s="46" t="s">
        <v>356</v>
      </c>
      <c r="C26" s="46" t="s">
        <v>1043</v>
      </c>
      <c r="D26" s="46" t="s">
        <v>1043</v>
      </c>
      <c r="I26" s="46" t="s">
        <v>1153</v>
      </c>
      <c r="J26" s="46" t="s">
        <v>1154</v>
      </c>
      <c r="K26" s="46" t="s">
        <v>1155</v>
      </c>
      <c r="L26" s="46" t="s">
        <v>1156</v>
      </c>
      <c r="M26" s="46" t="s">
        <v>1157</v>
      </c>
      <c r="N26" s="46" t="s">
        <v>1158</v>
      </c>
      <c r="O26" s="46" t="s">
        <v>1159</v>
      </c>
    </row>
    <row r="27" spans="2:15">
      <c r="B27" s="46" t="s">
        <v>355</v>
      </c>
      <c r="C27" s="46" t="s">
        <v>1043</v>
      </c>
      <c r="D27" s="46" t="s">
        <v>1043</v>
      </c>
      <c r="I27" s="46" t="s">
        <v>2273</v>
      </c>
      <c r="J27" s="46" t="s">
        <v>2274</v>
      </c>
      <c r="K27" s="46" t="s">
        <v>2275</v>
      </c>
      <c r="L27" s="46" t="s">
        <v>2276</v>
      </c>
      <c r="M27" s="46" t="s">
        <v>2277</v>
      </c>
      <c r="N27" s="46" t="s">
        <v>2278</v>
      </c>
      <c r="O27" s="46" t="s">
        <v>1160</v>
      </c>
    </row>
    <row r="28" spans="2:15">
      <c r="B28" s="46" t="s">
        <v>351</v>
      </c>
      <c r="C28" s="46" t="s">
        <v>1043</v>
      </c>
      <c r="D28" s="46" t="s">
        <v>1043</v>
      </c>
      <c r="E28" s="46" t="s">
        <v>354</v>
      </c>
      <c r="F28" s="46" t="s">
        <v>1043</v>
      </c>
      <c r="G28" s="46" t="s">
        <v>1043</v>
      </c>
      <c r="H28" s="46" t="s">
        <v>1095</v>
      </c>
      <c r="I28" s="46" t="s">
        <v>1162</v>
      </c>
      <c r="J28" s="46" t="s">
        <v>1163</v>
      </c>
      <c r="K28" s="46" t="s">
        <v>1164</v>
      </c>
      <c r="L28" s="46" t="s">
        <v>1165</v>
      </c>
      <c r="M28" s="46" t="s">
        <v>1166</v>
      </c>
      <c r="N28" s="46" t="s">
        <v>1167</v>
      </c>
      <c r="O28" s="46" t="s">
        <v>1168</v>
      </c>
    </row>
    <row r="29" spans="2:15">
      <c r="B29" s="46" t="s">
        <v>351</v>
      </c>
      <c r="C29" s="46" t="s">
        <v>1043</v>
      </c>
      <c r="D29" s="46" t="s">
        <v>1043</v>
      </c>
      <c r="E29" s="46" t="s">
        <v>353</v>
      </c>
      <c r="F29" s="46" t="s">
        <v>1043</v>
      </c>
      <c r="G29" s="46" t="s">
        <v>1043</v>
      </c>
      <c r="H29" s="46" t="s">
        <v>1095</v>
      </c>
      <c r="I29" s="46" t="s">
        <v>1170</v>
      </c>
      <c r="J29" s="46" t="s">
        <v>1171</v>
      </c>
      <c r="K29" s="46" t="s">
        <v>1172</v>
      </c>
      <c r="L29" s="46" t="s">
        <v>1173</v>
      </c>
      <c r="M29" s="46" t="s">
        <v>1174</v>
      </c>
      <c r="N29" s="46" t="s">
        <v>1175</v>
      </c>
      <c r="O29" s="46" t="s">
        <v>1176</v>
      </c>
    </row>
    <row r="30" spans="2:15">
      <c r="B30" s="46" t="s">
        <v>351</v>
      </c>
      <c r="C30" s="46" t="s">
        <v>1043</v>
      </c>
      <c r="D30" s="46" t="s">
        <v>1043</v>
      </c>
      <c r="E30" s="46" t="s">
        <v>352</v>
      </c>
      <c r="F30" s="46" t="s">
        <v>1043</v>
      </c>
      <c r="G30" s="46" t="s">
        <v>1043</v>
      </c>
      <c r="H30" s="46" t="s">
        <v>1095</v>
      </c>
      <c r="I30" s="46" t="s">
        <v>2279</v>
      </c>
      <c r="J30" s="46" t="s">
        <v>2280</v>
      </c>
      <c r="K30" s="46" t="s">
        <v>2281</v>
      </c>
      <c r="L30" s="46" t="s">
        <v>2282</v>
      </c>
      <c r="M30" s="46" t="s">
        <v>2283</v>
      </c>
      <c r="N30" s="46" t="s">
        <v>2284</v>
      </c>
      <c r="O30" s="46" t="s">
        <v>1177</v>
      </c>
    </row>
    <row r="31" spans="2:15">
      <c r="B31" s="46" t="s">
        <v>351</v>
      </c>
      <c r="C31" s="46" t="s">
        <v>1043</v>
      </c>
      <c r="D31" s="46" t="s">
        <v>1043</v>
      </c>
      <c r="O31" s="46" t="s">
        <v>1185</v>
      </c>
    </row>
    <row r="32" spans="2:15">
      <c r="B32" s="46" t="s">
        <v>347</v>
      </c>
      <c r="C32" s="46" t="s">
        <v>1043</v>
      </c>
      <c r="D32" s="46" t="s">
        <v>1043</v>
      </c>
      <c r="E32" s="46" t="s">
        <v>350</v>
      </c>
      <c r="F32" s="46" t="s">
        <v>1043</v>
      </c>
      <c r="G32" s="46" t="s">
        <v>1043</v>
      </c>
      <c r="H32" s="46" t="s">
        <v>1095</v>
      </c>
      <c r="I32" s="46" t="s">
        <v>1187</v>
      </c>
      <c r="J32" s="46" t="s">
        <v>1188</v>
      </c>
      <c r="K32" s="46" t="s">
        <v>1189</v>
      </c>
      <c r="L32" s="46" t="s">
        <v>1190</v>
      </c>
      <c r="M32" s="46" t="s">
        <v>1191</v>
      </c>
      <c r="N32" s="46" t="s">
        <v>1192</v>
      </c>
      <c r="O32" s="46" t="s">
        <v>1193</v>
      </c>
    </row>
    <row r="33" spans="2:15">
      <c r="B33" s="46" t="s">
        <v>347</v>
      </c>
      <c r="C33" s="46" t="s">
        <v>1043</v>
      </c>
      <c r="D33" s="46" t="s">
        <v>1043</v>
      </c>
      <c r="E33" s="46" t="s">
        <v>349</v>
      </c>
      <c r="F33" s="46" t="s">
        <v>1043</v>
      </c>
      <c r="G33" s="46" t="s">
        <v>1043</v>
      </c>
      <c r="H33" s="46" t="s">
        <v>1095</v>
      </c>
      <c r="I33" s="46" t="s">
        <v>2285</v>
      </c>
      <c r="J33" s="46" t="s">
        <v>2286</v>
      </c>
      <c r="K33" s="46" t="s">
        <v>2287</v>
      </c>
      <c r="L33" s="46" t="s">
        <v>2288</v>
      </c>
      <c r="M33" s="46" t="s">
        <v>2289</v>
      </c>
      <c r="N33" s="46" t="s">
        <v>2290</v>
      </c>
      <c r="O33" s="46" t="s">
        <v>1194</v>
      </c>
    </row>
    <row r="34" spans="2:15">
      <c r="B34" s="46" t="s">
        <v>347</v>
      </c>
      <c r="C34" s="46" t="s">
        <v>1043</v>
      </c>
      <c r="D34" s="46" t="s">
        <v>1043</v>
      </c>
      <c r="E34" s="46" t="s">
        <v>348</v>
      </c>
      <c r="F34" s="46" t="s">
        <v>1043</v>
      </c>
      <c r="G34" s="46" t="s">
        <v>1043</v>
      </c>
      <c r="H34" s="46" t="s">
        <v>1095</v>
      </c>
      <c r="I34" s="46" t="s">
        <v>1196</v>
      </c>
      <c r="J34" s="46" t="s">
        <v>1197</v>
      </c>
      <c r="K34" s="46" t="s">
        <v>1198</v>
      </c>
      <c r="L34" s="46" t="s">
        <v>1199</v>
      </c>
      <c r="M34" s="46" t="s">
        <v>1200</v>
      </c>
      <c r="N34" s="46" t="s">
        <v>1201</v>
      </c>
      <c r="O34" s="46" t="s">
        <v>1202</v>
      </c>
    </row>
    <row r="35" spans="2:15">
      <c r="B35" s="46" t="s">
        <v>347</v>
      </c>
      <c r="C35" s="46" t="s">
        <v>1043</v>
      </c>
      <c r="D35" s="46" t="s">
        <v>1043</v>
      </c>
      <c r="O35" s="46" t="s">
        <v>1210</v>
      </c>
    </row>
    <row r="36" spans="2:15">
      <c r="B36" s="46" t="s">
        <v>343</v>
      </c>
      <c r="C36" s="46" t="s">
        <v>1043</v>
      </c>
      <c r="D36" s="46" t="s">
        <v>1043</v>
      </c>
      <c r="E36" s="46" t="s">
        <v>346</v>
      </c>
      <c r="F36" s="46" t="s">
        <v>1043</v>
      </c>
      <c r="G36" s="46" t="s">
        <v>1043</v>
      </c>
      <c r="H36" s="46" t="s">
        <v>1095</v>
      </c>
      <c r="I36" s="46" t="s">
        <v>2291</v>
      </c>
      <c r="J36" s="46" t="s">
        <v>2292</v>
      </c>
      <c r="K36" s="46" t="s">
        <v>2293</v>
      </c>
      <c r="L36" s="46" t="s">
        <v>2294</v>
      </c>
      <c r="M36" s="46" t="s">
        <v>2295</v>
      </c>
      <c r="N36" s="46" t="s">
        <v>2296</v>
      </c>
      <c r="O36" s="46" t="s">
        <v>1211</v>
      </c>
    </row>
    <row r="37" spans="2:15">
      <c r="B37" s="46" t="s">
        <v>343</v>
      </c>
      <c r="C37" s="46" t="s">
        <v>1043</v>
      </c>
      <c r="D37" s="46" t="s">
        <v>1043</v>
      </c>
      <c r="E37" s="46" t="s">
        <v>345</v>
      </c>
      <c r="F37" s="46" t="s">
        <v>1043</v>
      </c>
      <c r="G37" s="46" t="s">
        <v>1043</v>
      </c>
      <c r="H37" s="46" t="s">
        <v>1095</v>
      </c>
      <c r="I37" s="46" t="s">
        <v>1213</v>
      </c>
      <c r="J37" s="46" t="s">
        <v>1214</v>
      </c>
      <c r="K37" s="46" t="s">
        <v>1215</v>
      </c>
      <c r="L37" s="46" t="s">
        <v>1216</v>
      </c>
      <c r="M37" s="46" t="s">
        <v>1217</v>
      </c>
      <c r="N37" s="46" t="s">
        <v>1218</v>
      </c>
      <c r="O37" s="46" t="s">
        <v>1219</v>
      </c>
    </row>
    <row r="38" spans="2:15">
      <c r="B38" s="46" t="s">
        <v>343</v>
      </c>
      <c r="C38" s="46" t="s">
        <v>1043</v>
      </c>
      <c r="D38" s="46" t="s">
        <v>1043</v>
      </c>
      <c r="E38" s="46" t="s">
        <v>344</v>
      </c>
      <c r="F38" s="46" t="s">
        <v>1043</v>
      </c>
      <c r="G38" s="46" t="s">
        <v>1043</v>
      </c>
      <c r="H38" s="46" t="s">
        <v>1095</v>
      </c>
      <c r="I38" s="46" t="s">
        <v>1221</v>
      </c>
      <c r="J38" s="46" t="s">
        <v>1222</v>
      </c>
      <c r="K38" s="46" t="s">
        <v>1223</v>
      </c>
      <c r="L38" s="46" t="s">
        <v>1224</v>
      </c>
      <c r="M38" s="46" t="s">
        <v>1225</v>
      </c>
      <c r="N38" s="46" t="s">
        <v>1226</v>
      </c>
      <c r="O38" s="46" t="s">
        <v>1227</v>
      </c>
    </row>
    <row r="39" spans="2:15">
      <c r="B39" s="46" t="s">
        <v>343</v>
      </c>
      <c r="C39" s="46" t="s">
        <v>1043</v>
      </c>
      <c r="D39" s="46" t="s">
        <v>1043</v>
      </c>
      <c r="O39" s="46" t="s">
        <v>1228</v>
      </c>
    </row>
    <row r="40" spans="2:15">
      <c r="B40" s="46" t="s">
        <v>338</v>
      </c>
      <c r="C40" s="46" t="s">
        <v>1043</v>
      </c>
      <c r="D40" s="46" t="s">
        <v>1043</v>
      </c>
      <c r="E40" s="46" t="s">
        <v>342</v>
      </c>
      <c r="F40" s="46" t="s">
        <v>1043</v>
      </c>
      <c r="G40" s="46" t="s">
        <v>1043</v>
      </c>
      <c r="H40" s="46" t="s">
        <v>1095</v>
      </c>
      <c r="I40" s="46" t="s">
        <v>1230</v>
      </c>
      <c r="J40" s="46" t="s">
        <v>1231</v>
      </c>
      <c r="K40" s="46" t="s">
        <v>1232</v>
      </c>
      <c r="L40" s="46" t="s">
        <v>1233</v>
      </c>
      <c r="M40" s="46" t="s">
        <v>1234</v>
      </c>
      <c r="N40" s="46" t="s">
        <v>1235</v>
      </c>
      <c r="O40" s="46" t="s">
        <v>1236</v>
      </c>
    </row>
    <row r="41" spans="2:15">
      <c r="B41" s="46" t="s">
        <v>338</v>
      </c>
      <c r="C41" s="46" t="s">
        <v>1043</v>
      </c>
      <c r="D41" s="46" t="s">
        <v>1043</v>
      </c>
      <c r="E41" s="46" t="s">
        <v>341</v>
      </c>
      <c r="F41" s="46" t="s">
        <v>1043</v>
      </c>
      <c r="G41" s="46" t="s">
        <v>1043</v>
      </c>
      <c r="H41" s="46" t="s">
        <v>1095</v>
      </c>
      <c r="I41" s="46" t="s">
        <v>1238</v>
      </c>
      <c r="J41" s="46" t="s">
        <v>1239</v>
      </c>
      <c r="K41" s="46" t="s">
        <v>1240</v>
      </c>
      <c r="L41" s="46" t="s">
        <v>1241</v>
      </c>
      <c r="M41" s="46" t="s">
        <v>1242</v>
      </c>
      <c r="N41" s="46" t="s">
        <v>1243</v>
      </c>
      <c r="O41" s="46" t="s">
        <v>1244</v>
      </c>
    </row>
    <row r="42" spans="2:15">
      <c r="B42" s="46" t="s">
        <v>338</v>
      </c>
      <c r="C42" s="46" t="s">
        <v>1043</v>
      </c>
      <c r="D42" s="46" t="s">
        <v>1043</v>
      </c>
      <c r="E42" s="46" t="s">
        <v>340</v>
      </c>
      <c r="F42" s="46" t="s">
        <v>1043</v>
      </c>
      <c r="G42" s="46" t="s">
        <v>1043</v>
      </c>
      <c r="H42" s="46" t="s">
        <v>1095</v>
      </c>
      <c r="I42" s="46" t="s">
        <v>2297</v>
      </c>
      <c r="J42" s="46" t="s">
        <v>2298</v>
      </c>
      <c r="K42" s="46" t="s">
        <v>2299</v>
      </c>
      <c r="L42" s="46" t="s">
        <v>2300</v>
      </c>
      <c r="M42" s="46" t="s">
        <v>2301</v>
      </c>
      <c r="N42" s="46" t="s">
        <v>2302</v>
      </c>
      <c r="O42" s="46" t="s">
        <v>1245</v>
      </c>
    </row>
    <row r="43" spans="2:15">
      <c r="B43" s="46" t="s">
        <v>338</v>
      </c>
      <c r="C43" s="46" t="s">
        <v>1043</v>
      </c>
      <c r="D43" s="46" t="s">
        <v>1043</v>
      </c>
      <c r="E43" s="46" t="s">
        <v>339</v>
      </c>
      <c r="F43" s="46" t="s">
        <v>1043</v>
      </c>
      <c r="G43" s="46" t="s">
        <v>1043</v>
      </c>
      <c r="H43" s="46" t="s">
        <v>1095</v>
      </c>
      <c r="I43" s="46" t="s">
        <v>1247</v>
      </c>
      <c r="J43" s="46" t="s">
        <v>1248</v>
      </c>
      <c r="K43" s="46" t="s">
        <v>1249</v>
      </c>
      <c r="L43" s="46" t="s">
        <v>1250</v>
      </c>
      <c r="M43" s="46" t="s">
        <v>1251</v>
      </c>
      <c r="N43" s="46" t="s">
        <v>1252</v>
      </c>
      <c r="O43" s="46" t="s">
        <v>1253</v>
      </c>
    </row>
    <row r="44" spans="2:15">
      <c r="B44" s="46" t="s">
        <v>338</v>
      </c>
      <c r="C44" s="46" t="s">
        <v>1043</v>
      </c>
      <c r="D44" s="46" t="s">
        <v>1043</v>
      </c>
      <c r="O44" s="46" t="s">
        <v>1261</v>
      </c>
    </row>
    <row r="45" spans="2:15">
      <c r="B45" s="46" t="s">
        <v>332</v>
      </c>
      <c r="C45" s="46" t="s">
        <v>1043</v>
      </c>
      <c r="D45" s="46" t="s">
        <v>1043</v>
      </c>
      <c r="E45" s="46" t="s">
        <v>337</v>
      </c>
      <c r="F45" s="46" t="s">
        <v>1043</v>
      </c>
      <c r="G45" s="46" t="s">
        <v>1043</v>
      </c>
      <c r="H45" s="46" t="s">
        <v>1095</v>
      </c>
      <c r="I45" s="46" t="s">
        <v>2303</v>
      </c>
      <c r="J45" s="46" t="s">
        <v>2304</v>
      </c>
      <c r="K45" s="46" t="s">
        <v>2305</v>
      </c>
      <c r="L45" s="46" t="s">
        <v>2306</v>
      </c>
      <c r="M45" s="46" t="s">
        <v>2307</v>
      </c>
      <c r="N45" s="46" t="s">
        <v>2308</v>
      </c>
      <c r="O45" s="46" t="s">
        <v>1262</v>
      </c>
    </row>
    <row r="46" spans="2:15">
      <c r="B46" s="46" t="s">
        <v>332</v>
      </c>
      <c r="C46" s="46" t="s">
        <v>1043</v>
      </c>
      <c r="D46" s="46" t="s">
        <v>1043</v>
      </c>
      <c r="E46" s="46" t="s">
        <v>336</v>
      </c>
      <c r="F46" s="46" t="s">
        <v>1043</v>
      </c>
      <c r="G46" s="46" t="s">
        <v>1043</v>
      </c>
      <c r="H46" s="46" t="s">
        <v>1095</v>
      </c>
      <c r="I46" s="46" t="s">
        <v>1264</v>
      </c>
      <c r="J46" s="46" t="s">
        <v>1265</v>
      </c>
      <c r="K46" s="46" t="s">
        <v>1266</v>
      </c>
      <c r="L46" s="46" t="s">
        <v>1267</v>
      </c>
      <c r="M46" s="46" t="s">
        <v>1268</v>
      </c>
      <c r="N46" s="46" t="s">
        <v>1269</v>
      </c>
      <c r="O46" s="46" t="s">
        <v>1270</v>
      </c>
    </row>
    <row r="47" spans="2:15">
      <c r="B47" s="46" t="s">
        <v>332</v>
      </c>
      <c r="C47" s="46" t="s">
        <v>1043</v>
      </c>
      <c r="D47" s="46" t="s">
        <v>1043</v>
      </c>
      <c r="E47" s="46" t="s">
        <v>335</v>
      </c>
      <c r="F47" s="46" t="s">
        <v>1043</v>
      </c>
      <c r="G47" s="46" t="s">
        <v>1043</v>
      </c>
      <c r="H47" s="46" t="s">
        <v>1095</v>
      </c>
      <c r="I47" s="46" t="s">
        <v>1272</v>
      </c>
      <c r="J47" s="46" t="s">
        <v>1273</v>
      </c>
      <c r="K47" s="46" t="s">
        <v>1274</v>
      </c>
      <c r="L47" s="46" t="s">
        <v>1275</v>
      </c>
      <c r="M47" s="46" t="s">
        <v>1276</v>
      </c>
      <c r="N47" s="46" t="s">
        <v>1277</v>
      </c>
      <c r="O47" s="46" t="s">
        <v>1278</v>
      </c>
    </row>
    <row r="48" spans="2:15">
      <c r="B48" s="46" t="s">
        <v>332</v>
      </c>
      <c r="C48" s="46" t="s">
        <v>1043</v>
      </c>
      <c r="D48" s="46" t="s">
        <v>1043</v>
      </c>
      <c r="E48" s="46" t="s">
        <v>334</v>
      </c>
      <c r="F48" s="46" t="s">
        <v>1043</v>
      </c>
      <c r="G48" s="46" t="s">
        <v>1043</v>
      </c>
      <c r="H48" s="46" t="s">
        <v>1095</v>
      </c>
      <c r="I48" s="46" t="s">
        <v>2309</v>
      </c>
      <c r="J48" s="46" t="s">
        <v>2310</v>
      </c>
      <c r="K48" s="46" t="s">
        <v>2311</v>
      </c>
      <c r="L48" s="46" t="s">
        <v>2312</v>
      </c>
      <c r="M48" s="46" t="s">
        <v>2313</v>
      </c>
      <c r="N48" s="46" t="s">
        <v>2314</v>
      </c>
      <c r="O48" s="46" t="s">
        <v>1279</v>
      </c>
    </row>
    <row r="49" spans="2:15">
      <c r="B49" s="46" t="s">
        <v>332</v>
      </c>
      <c r="C49" s="46" t="s">
        <v>1043</v>
      </c>
      <c r="D49" s="46" t="s">
        <v>1043</v>
      </c>
      <c r="E49" s="46" t="s">
        <v>333</v>
      </c>
      <c r="F49" s="46" t="s">
        <v>1043</v>
      </c>
      <c r="G49" s="46" t="s">
        <v>1043</v>
      </c>
      <c r="H49" s="46" t="s">
        <v>1095</v>
      </c>
      <c r="I49" s="46" t="s">
        <v>1281</v>
      </c>
      <c r="J49" s="46" t="s">
        <v>1282</v>
      </c>
      <c r="K49" s="46" t="s">
        <v>1283</v>
      </c>
      <c r="L49" s="46" t="s">
        <v>1284</v>
      </c>
      <c r="M49" s="46" t="s">
        <v>1285</v>
      </c>
      <c r="N49" s="46" t="s">
        <v>1286</v>
      </c>
      <c r="O49" s="46" t="s">
        <v>1287</v>
      </c>
    </row>
    <row r="50" spans="2:15">
      <c r="B50" s="46" t="s">
        <v>332</v>
      </c>
      <c r="C50" s="46" t="s">
        <v>1043</v>
      </c>
      <c r="D50" s="46" t="s">
        <v>1043</v>
      </c>
      <c r="O50" s="46" t="s">
        <v>1295</v>
      </c>
    </row>
    <row r="51" spans="2:15">
      <c r="B51" s="46" t="s">
        <v>326</v>
      </c>
      <c r="C51" s="46" t="s">
        <v>1043</v>
      </c>
      <c r="D51" s="46" t="s">
        <v>1043</v>
      </c>
      <c r="E51" s="46" t="s">
        <v>331</v>
      </c>
      <c r="F51" s="46" t="s">
        <v>1043</v>
      </c>
      <c r="G51" s="46" t="s">
        <v>1043</v>
      </c>
      <c r="H51" s="46" t="s">
        <v>1095</v>
      </c>
      <c r="I51" s="46" t="s">
        <v>2315</v>
      </c>
      <c r="J51" s="46" t="s">
        <v>2316</v>
      </c>
      <c r="K51" s="46" t="s">
        <v>2317</v>
      </c>
      <c r="L51" s="46" t="s">
        <v>2318</v>
      </c>
      <c r="M51" s="46" t="s">
        <v>2319</v>
      </c>
      <c r="N51" s="46" t="s">
        <v>2320</v>
      </c>
      <c r="O51" s="46" t="s">
        <v>1296</v>
      </c>
    </row>
    <row r="52" spans="2:15">
      <c r="B52" s="46" t="s">
        <v>326</v>
      </c>
      <c r="C52" s="46" t="s">
        <v>1043</v>
      </c>
      <c r="D52" s="46" t="s">
        <v>1043</v>
      </c>
      <c r="E52" s="46" t="s">
        <v>330</v>
      </c>
      <c r="F52" s="46" t="s">
        <v>1043</v>
      </c>
      <c r="G52" s="46" t="s">
        <v>1043</v>
      </c>
      <c r="H52" s="46" t="s">
        <v>1095</v>
      </c>
      <c r="I52" s="46" t="s">
        <v>1298</v>
      </c>
      <c r="J52" s="46" t="s">
        <v>1299</v>
      </c>
      <c r="K52" s="46" t="s">
        <v>1300</v>
      </c>
      <c r="L52" s="46" t="s">
        <v>1301</v>
      </c>
      <c r="M52" s="46" t="s">
        <v>1302</v>
      </c>
      <c r="N52" s="46" t="s">
        <v>1303</v>
      </c>
      <c r="O52" s="46" t="s">
        <v>1304</v>
      </c>
    </row>
    <row r="53" spans="2:15">
      <c r="B53" s="46" t="s">
        <v>326</v>
      </c>
      <c r="C53" s="46" t="s">
        <v>1043</v>
      </c>
      <c r="D53" s="46" t="s">
        <v>1043</v>
      </c>
      <c r="E53" s="46" t="s">
        <v>329</v>
      </c>
      <c r="F53" s="46" t="s">
        <v>1043</v>
      </c>
      <c r="G53" s="46" t="s">
        <v>1043</v>
      </c>
      <c r="H53" s="46" t="s">
        <v>1095</v>
      </c>
      <c r="I53" s="46" t="s">
        <v>1306</v>
      </c>
      <c r="J53" s="46" t="s">
        <v>1307</v>
      </c>
      <c r="K53" s="46" t="s">
        <v>1308</v>
      </c>
      <c r="L53" s="46" t="s">
        <v>1309</v>
      </c>
      <c r="M53" s="46" t="s">
        <v>1310</v>
      </c>
      <c r="N53" s="46" t="s">
        <v>1311</v>
      </c>
      <c r="O53" s="46" t="s">
        <v>1312</v>
      </c>
    </row>
    <row r="54" spans="2:15">
      <c r="B54" s="46" t="s">
        <v>326</v>
      </c>
      <c r="C54" s="46" t="s">
        <v>1043</v>
      </c>
      <c r="D54" s="46" t="s">
        <v>1043</v>
      </c>
      <c r="E54" s="46" t="s">
        <v>328</v>
      </c>
      <c r="F54" s="46" t="s">
        <v>1043</v>
      </c>
      <c r="G54" s="46" t="s">
        <v>1043</v>
      </c>
      <c r="H54" s="46" t="s">
        <v>1095</v>
      </c>
      <c r="I54" s="46" t="s">
        <v>2321</v>
      </c>
      <c r="J54" s="46" t="s">
        <v>2322</v>
      </c>
      <c r="K54" s="46" t="s">
        <v>2323</v>
      </c>
      <c r="L54" s="46" t="s">
        <v>2324</v>
      </c>
      <c r="M54" s="46" t="s">
        <v>2325</v>
      </c>
      <c r="N54" s="46" t="s">
        <v>2326</v>
      </c>
      <c r="O54" s="46" t="s">
        <v>1313</v>
      </c>
    </row>
    <row r="55" spans="2:15">
      <c r="B55" s="46" t="s">
        <v>326</v>
      </c>
      <c r="C55" s="46" t="s">
        <v>1043</v>
      </c>
      <c r="D55" s="46" t="s">
        <v>1043</v>
      </c>
      <c r="E55" s="46" t="s">
        <v>327</v>
      </c>
      <c r="F55" s="46" t="s">
        <v>1043</v>
      </c>
      <c r="G55" s="46" t="s">
        <v>1043</v>
      </c>
      <c r="H55" s="46" t="s">
        <v>1095</v>
      </c>
      <c r="I55" s="46" t="s">
        <v>1315</v>
      </c>
      <c r="J55" s="46" t="s">
        <v>1316</v>
      </c>
      <c r="K55" s="46" t="s">
        <v>1317</v>
      </c>
      <c r="L55" s="46" t="s">
        <v>1318</v>
      </c>
      <c r="M55" s="46" t="s">
        <v>1319</v>
      </c>
      <c r="N55" s="46" t="s">
        <v>1320</v>
      </c>
      <c r="O55" s="46" t="s">
        <v>1321</v>
      </c>
    </row>
    <row r="56" spans="2:15">
      <c r="B56" s="46" t="s">
        <v>326</v>
      </c>
      <c r="C56" s="46" t="s">
        <v>1043</v>
      </c>
      <c r="D56" s="46" t="s">
        <v>1043</v>
      </c>
      <c r="O56" s="46" t="s">
        <v>1329</v>
      </c>
    </row>
    <row r="57" spans="2:15">
      <c r="B57" s="46" t="s">
        <v>320</v>
      </c>
      <c r="C57" s="46" t="s">
        <v>1043</v>
      </c>
      <c r="D57" s="46" t="s">
        <v>1043</v>
      </c>
      <c r="E57" s="46" t="s">
        <v>325</v>
      </c>
      <c r="F57" s="46" t="s">
        <v>1043</v>
      </c>
      <c r="G57" s="46" t="s">
        <v>1043</v>
      </c>
      <c r="H57" s="46" t="s">
        <v>1095</v>
      </c>
      <c r="I57" s="46" t="s">
        <v>2327</v>
      </c>
      <c r="J57" s="46" t="s">
        <v>2328</v>
      </c>
      <c r="K57" s="46" t="s">
        <v>2329</v>
      </c>
      <c r="L57" s="46" t="s">
        <v>2330</v>
      </c>
      <c r="M57" s="46" t="s">
        <v>2331</v>
      </c>
      <c r="N57" s="46" t="s">
        <v>2332</v>
      </c>
      <c r="O57" s="46" t="s">
        <v>1330</v>
      </c>
    </row>
    <row r="58" spans="2:15">
      <c r="B58" s="46" t="s">
        <v>320</v>
      </c>
      <c r="C58" s="46" t="s">
        <v>1043</v>
      </c>
      <c r="D58" s="46" t="s">
        <v>1043</v>
      </c>
      <c r="E58" s="46" t="s">
        <v>324</v>
      </c>
      <c r="F58" s="46" t="s">
        <v>1043</v>
      </c>
      <c r="G58" s="46" t="s">
        <v>1043</v>
      </c>
      <c r="H58" s="46" t="s">
        <v>1095</v>
      </c>
      <c r="I58" s="46" t="s">
        <v>1332</v>
      </c>
      <c r="J58" s="46" t="s">
        <v>1333</v>
      </c>
      <c r="K58" s="46" t="s">
        <v>1334</v>
      </c>
      <c r="L58" s="46" t="s">
        <v>1335</v>
      </c>
      <c r="M58" s="46" t="s">
        <v>1336</v>
      </c>
      <c r="N58" s="46" t="s">
        <v>1337</v>
      </c>
      <c r="O58" s="46" t="s">
        <v>1338</v>
      </c>
    </row>
    <row r="59" spans="2:15">
      <c r="B59" s="46" t="s">
        <v>320</v>
      </c>
      <c r="C59" s="46" t="s">
        <v>1043</v>
      </c>
      <c r="D59" s="46" t="s">
        <v>1043</v>
      </c>
      <c r="E59" s="46" t="s">
        <v>323</v>
      </c>
      <c r="F59" s="46" t="s">
        <v>1043</v>
      </c>
      <c r="G59" s="46" t="s">
        <v>1043</v>
      </c>
      <c r="H59" s="46" t="s">
        <v>1095</v>
      </c>
      <c r="I59" s="46" t="s">
        <v>1340</v>
      </c>
      <c r="J59" s="46" t="s">
        <v>1341</v>
      </c>
      <c r="K59" s="46" t="s">
        <v>1342</v>
      </c>
      <c r="L59" s="46" t="s">
        <v>1343</v>
      </c>
      <c r="M59" s="46" t="s">
        <v>1344</v>
      </c>
      <c r="N59" s="46" t="s">
        <v>1345</v>
      </c>
      <c r="O59" s="46" t="s">
        <v>1346</v>
      </c>
    </row>
    <row r="60" spans="2:15">
      <c r="B60" s="46" t="s">
        <v>320</v>
      </c>
      <c r="C60" s="46" t="s">
        <v>1043</v>
      </c>
      <c r="D60" s="46" t="s">
        <v>1043</v>
      </c>
      <c r="E60" s="46" t="s">
        <v>322</v>
      </c>
      <c r="F60" s="46" t="s">
        <v>1043</v>
      </c>
      <c r="G60" s="46" t="s">
        <v>1043</v>
      </c>
      <c r="H60" s="46" t="s">
        <v>1095</v>
      </c>
      <c r="I60" s="46" t="s">
        <v>2333</v>
      </c>
      <c r="J60" s="46" t="s">
        <v>2334</v>
      </c>
      <c r="K60" s="46" t="s">
        <v>2335</v>
      </c>
      <c r="L60" s="46" t="s">
        <v>2336</v>
      </c>
      <c r="M60" s="46" t="s">
        <v>2337</v>
      </c>
      <c r="N60" s="46" t="s">
        <v>2338</v>
      </c>
      <c r="O60" s="46" t="s">
        <v>1347</v>
      </c>
    </row>
    <row r="61" spans="2:15">
      <c r="B61" s="46" t="s">
        <v>320</v>
      </c>
      <c r="C61" s="46" t="s">
        <v>1043</v>
      </c>
      <c r="D61" s="46" t="s">
        <v>1043</v>
      </c>
      <c r="E61" s="46" t="s">
        <v>321</v>
      </c>
      <c r="F61" s="46" t="s">
        <v>1043</v>
      </c>
      <c r="G61" s="46" t="s">
        <v>1043</v>
      </c>
      <c r="H61" s="46" t="s">
        <v>1095</v>
      </c>
      <c r="I61" s="46" t="s">
        <v>1349</v>
      </c>
      <c r="J61" s="46" t="s">
        <v>1350</v>
      </c>
      <c r="K61" s="46" t="s">
        <v>1351</v>
      </c>
      <c r="L61" s="46" t="s">
        <v>1352</v>
      </c>
      <c r="M61" s="46" t="s">
        <v>1353</v>
      </c>
      <c r="N61" s="46" t="s">
        <v>1354</v>
      </c>
      <c r="O61" s="46" t="s">
        <v>1355</v>
      </c>
    </row>
    <row r="62" spans="2:15">
      <c r="B62" s="46" t="s">
        <v>320</v>
      </c>
      <c r="C62" s="46" t="s">
        <v>1043</v>
      </c>
      <c r="D62" s="46" t="s">
        <v>1043</v>
      </c>
      <c r="O62" s="46" t="s">
        <v>1363</v>
      </c>
    </row>
    <row r="63" spans="2:15">
      <c r="B63" s="46" t="s">
        <v>314</v>
      </c>
      <c r="C63" s="46" t="s">
        <v>1043</v>
      </c>
      <c r="D63" s="46" t="s">
        <v>1043</v>
      </c>
      <c r="E63" s="46" t="s">
        <v>319</v>
      </c>
      <c r="F63" s="46" t="s">
        <v>1043</v>
      </c>
      <c r="G63" s="46" t="s">
        <v>1043</v>
      </c>
      <c r="H63" s="46" t="s">
        <v>1095</v>
      </c>
      <c r="I63" s="46" t="s">
        <v>2339</v>
      </c>
      <c r="J63" s="46" t="s">
        <v>2340</v>
      </c>
      <c r="K63" s="46" t="s">
        <v>2341</v>
      </c>
      <c r="L63" s="46" t="s">
        <v>2342</v>
      </c>
      <c r="M63" s="46" t="s">
        <v>2343</v>
      </c>
      <c r="N63" s="46" t="s">
        <v>2344</v>
      </c>
      <c r="O63" s="46" t="s">
        <v>1364</v>
      </c>
    </row>
    <row r="64" spans="2:15">
      <c r="B64" s="46" t="s">
        <v>314</v>
      </c>
      <c r="C64" s="46" t="s">
        <v>1043</v>
      </c>
      <c r="D64" s="46" t="s">
        <v>1043</v>
      </c>
      <c r="E64" s="46" t="s">
        <v>318</v>
      </c>
      <c r="F64" s="46" t="s">
        <v>1043</v>
      </c>
      <c r="G64" s="46" t="s">
        <v>1043</v>
      </c>
      <c r="H64" s="46" t="s">
        <v>1095</v>
      </c>
      <c r="I64" s="46" t="s">
        <v>1366</v>
      </c>
      <c r="J64" s="46" t="s">
        <v>1367</v>
      </c>
      <c r="K64" s="46" t="s">
        <v>1368</v>
      </c>
      <c r="L64" s="46" t="s">
        <v>1369</v>
      </c>
      <c r="M64" s="46" t="s">
        <v>1370</v>
      </c>
      <c r="N64" s="46" t="s">
        <v>1371</v>
      </c>
      <c r="O64" s="46" t="s">
        <v>1372</v>
      </c>
    </row>
    <row r="65" spans="2:15">
      <c r="B65" s="46" t="s">
        <v>314</v>
      </c>
      <c r="C65" s="46" t="s">
        <v>1043</v>
      </c>
      <c r="D65" s="46" t="s">
        <v>1043</v>
      </c>
      <c r="E65" s="46" t="s">
        <v>317</v>
      </c>
      <c r="F65" s="46" t="s">
        <v>1043</v>
      </c>
      <c r="G65" s="46" t="s">
        <v>1043</v>
      </c>
      <c r="H65" s="46" t="s">
        <v>1095</v>
      </c>
      <c r="I65" s="46" t="s">
        <v>1374</v>
      </c>
      <c r="J65" s="46" t="s">
        <v>1375</v>
      </c>
      <c r="K65" s="46" t="s">
        <v>1376</v>
      </c>
      <c r="L65" s="46" t="s">
        <v>1377</v>
      </c>
      <c r="M65" s="46" t="s">
        <v>1378</v>
      </c>
      <c r="N65" s="46" t="s">
        <v>1379</v>
      </c>
      <c r="O65" s="46" t="s">
        <v>1380</v>
      </c>
    </row>
    <row r="66" spans="2:15">
      <c r="B66" s="46" t="s">
        <v>314</v>
      </c>
      <c r="C66" s="46" t="s">
        <v>1043</v>
      </c>
      <c r="D66" s="46" t="s">
        <v>1043</v>
      </c>
      <c r="E66" s="46" t="s">
        <v>316</v>
      </c>
      <c r="F66" s="46" t="s">
        <v>1043</v>
      </c>
      <c r="G66" s="46" t="s">
        <v>1043</v>
      </c>
      <c r="H66" s="46" t="s">
        <v>1095</v>
      </c>
      <c r="I66" s="46" t="s">
        <v>2345</v>
      </c>
      <c r="J66" s="46" t="s">
        <v>2346</v>
      </c>
      <c r="K66" s="46" t="s">
        <v>2347</v>
      </c>
      <c r="L66" s="46" t="s">
        <v>2348</v>
      </c>
      <c r="M66" s="46" t="s">
        <v>2349</v>
      </c>
      <c r="N66" s="46" t="s">
        <v>2350</v>
      </c>
      <c r="O66" s="46" t="s">
        <v>1381</v>
      </c>
    </row>
    <row r="67" spans="2:15">
      <c r="B67" s="46" t="s">
        <v>314</v>
      </c>
      <c r="C67" s="46" t="s">
        <v>1043</v>
      </c>
      <c r="D67" s="46" t="s">
        <v>1043</v>
      </c>
      <c r="E67" s="46" t="s">
        <v>315</v>
      </c>
      <c r="F67" s="46" t="s">
        <v>1043</v>
      </c>
      <c r="G67" s="46" t="s">
        <v>1043</v>
      </c>
      <c r="H67" s="46" t="s">
        <v>1095</v>
      </c>
      <c r="I67" s="46" t="s">
        <v>1383</v>
      </c>
      <c r="J67" s="46" t="s">
        <v>1384</v>
      </c>
      <c r="K67" s="46" t="s">
        <v>1385</v>
      </c>
      <c r="L67" s="46" t="s">
        <v>1386</v>
      </c>
      <c r="M67" s="46" t="s">
        <v>1387</v>
      </c>
      <c r="N67" s="46" t="s">
        <v>1388</v>
      </c>
      <c r="O67" s="46" t="s">
        <v>1389</v>
      </c>
    </row>
    <row r="68" spans="2:15">
      <c r="B68" s="46" t="s">
        <v>314</v>
      </c>
      <c r="C68" s="46" t="s">
        <v>1043</v>
      </c>
      <c r="D68" s="46" t="s">
        <v>1043</v>
      </c>
      <c r="O68" s="46" t="s">
        <v>1397</v>
      </c>
    </row>
    <row r="69" spans="2:15">
      <c r="B69" s="46" t="s">
        <v>308</v>
      </c>
      <c r="C69" s="46" t="s">
        <v>1043</v>
      </c>
      <c r="D69" s="46" t="s">
        <v>1043</v>
      </c>
      <c r="E69" s="46" t="s">
        <v>313</v>
      </c>
      <c r="F69" s="46" t="s">
        <v>1043</v>
      </c>
      <c r="G69" s="46" t="s">
        <v>1043</v>
      </c>
      <c r="H69" s="46" t="s">
        <v>1095</v>
      </c>
      <c r="I69" s="46" t="s">
        <v>2351</v>
      </c>
      <c r="J69" s="46" t="s">
        <v>2352</v>
      </c>
      <c r="K69" s="46" t="s">
        <v>2353</v>
      </c>
      <c r="L69" s="46" t="s">
        <v>2354</v>
      </c>
      <c r="M69" s="46" t="s">
        <v>2355</v>
      </c>
      <c r="N69" s="46" t="s">
        <v>2356</v>
      </c>
      <c r="O69" s="46" t="s">
        <v>1398</v>
      </c>
    </row>
    <row r="70" spans="2:15">
      <c r="B70" s="46" t="s">
        <v>308</v>
      </c>
      <c r="C70" s="46" t="s">
        <v>1043</v>
      </c>
      <c r="D70" s="46" t="s">
        <v>1043</v>
      </c>
      <c r="E70" s="46" t="s">
        <v>312</v>
      </c>
      <c r="F70" s="46" t="s">
        <v>1043</v>
      </c>
      <c r="G70" s="46" t="s">
        <v>1043</v>
      </c>
      <c r="H70" s="46" t="s">
        <v>1095</v>
      </c>
      <c r="I70" s="46" t="s">
        <v>1400</v>
      </c>
      <c r="J70" s="46" t="s">
        <v>1401</v>
      </c>
      <c r="K70" s="46" t="s">
        <v>1402</v>
      </c>
      <c r="L70" s="46" t="s">
        <v>1403</v>
      </c>
      <c r="M70" s="46" t="s">
        <v>1404</v>
      </c>
      <c r="N70" s="46" t="s">
        <v>1405</v>
      </c>
      <c r="O70" s="46" t="s">
        <v>1406</v>
      </c>
    </row>
    <row r="71" spans="2:15">
      <c r="B71" s="46" t="s">
        <v>308</v>
      </c>
      <c r="C71" s="46" t="s">
        <v>1043</v>
      </c>
      <c r="D71" s="46" t="s">
        <v>1043</v>
      </c>
      <c r="E71" s="46" t="s">
        <v>311</v>
      </c>
      <c r="F71" s="46" t="s">
        <v>1043</v>
      </c>
      <c r="G71" s="46" t="s">
        <v>1043</v>
      </c>
      <c r="H71" s="46" t="s">
        <v>1095</v>
      </c>
      <c r="I71" s="46" t="s">
        <v>1408</v>
      </c>
      <c r="J71" s="46" t="s">
        <v>1409</v>
      </c>
      <c r="K71" s="46" t="s">
        <v>1410</v>
      </c>
      <c r="L71" s="46" t="s">
        <v>1411</v>
      </c>
      <c r="M71" s="46" t="s">
        <v>1412</v>
      </c>
      <c r="N71" s="46" t="s">
        <v>1413</v>
      </c>
      <c r="O71" s="46" t="s">
        <v>1414</v>
      </c>
    </row>
    <row r="72" spans="2:15">
      <c r="B72" s="46" t="s">
        <v>308</v>
      </c>
      <c r="C72" s="46" t="s">
        <v>1043</v>
      </c>
      <c r="D72" s="46" t="s">
        <v>1043</v>
      </c>
      <c r="E72" s="46" t="s">
        <v>310</v>
      </c>
      <c r="F72" s="46" t="s">
        <v>1043</v>
      </c>
      <c r="G72" s="46" t="s">
        <v>1043</v>
      </c>
      <c r="H72" s="46" t="s">
        <v>1095</v>
      </c>
      <c r="I72" s="46" t="s">
        <v>2357</v>
      </c>
      <c r="J72" s="46" t="s">
        <v>2358</v>
      </c>
      <c r="K72" s="46" t="s">
        <v>2359</v>
      </c>
      <c r="L72" s="46" t="s">
        <v>2360</v>
      </c>
      <c r="M72" s="46" t="s">
        <v>2361</v>
      </c>
      <c r="N72" s="46" t="s">
        <v>2362</v>
      </c>
      <c r="O72" s="46" t="s">
        <v>1415</v>
      </c>
    </row>
    <row r="73" spans="2:15">
      <c r="B73" s="46" t="s">
        <v>308</v>
      </c>
      <c r="C73" s="46" t="s">
        <v>1043</v>
      </c>
      <c r="D73" s="46" t="s">
        <v>1043</v>
      </c>
      <c r="E73" s="46" t="s">
        <v>309</v>
      </c>
      <c r="F73" s="46" t="s">
        <v>1043</v>
      </c>
      <c r="G73" s="46" t="s">
        <v>1043</v>
      </c>
      <c r="H73" s="46" t="s">
        <v>1095</v>
      </c>
      <c r="I73" s="46" t="s">
        <v>1416</v>
      </c>
      <c r="J73" s="46" t="s">
        <v>1417</v>
      </c>
      <c r="K73" s="46" t="s">
        <v>1418</v>
      </c>
      <c r="L73" s="46" t="s">
        <v>1419</v>
      </c>
      <c r="M73" s="46" t="s">
        <v>1420</v>
      </c>
      <c r="N73" s="46" t="s">
        <v>1421</v>
      </c>
      <c r="O73" s="46" t="s">
        <v>1422</v>
      </c>
    </row>
    <row r="74" spans="2:15">
      <c r="B74" s="46" t="s">
        <v>308</v>
      </c>
      <c r="C74" s="46" t="s">
        <v>1043</v>
      </c>
      <c r="D74" s="46" t="s">
        <v>1043</v>
      </c>
      <c r="O74" s="46" t="s">
        <v>1429</v>
      </c>
    </row>
    <row r="75" spans="2:15">
      <c r="B75" s="46" t="s">
        <v>303</v>
      </c>
      <c r="C75" s="46" t="s">
        <v>1043</v>
      </c>
      <c r="D75" s="46" t="s">
        <v>1043</v>
      </c>
      <c r="E75" s="46" t="s">
        <v>307</v>
      </c>
      <c r="F75" s="46" t="s">
        <v>1043</v>
      </c>
      <c r="G75" s="46" t="s">
        <v>1043</v>
      </c>
      <c r="H75" s="46" t="s">
        <v>1095</v>
      </c>
      <c r="I75" s="46" t="s">
        <v>1430</v>
      </c>
      <c r="J75" s="46" t="s">
        <v>1431</v>
      </c>
      <c r="K75" s="46" t="s">
        <v>1432</v>
      </c>
      <c r="L75" s="46" t="s">
        <v>1433</v>
      </c>
      <c r="M75" s="46" t="s">
        <v>1434</v>
      </c>
      <c r="N75" s="46" t="s">
        <v>1435</v>
      </c>
      <c r="O75" s="46" t="s">
        <v>1436</v>
      </c>
    </row>
    <row r="76" spans="2:15">
      <c r="B76" s="46" t="s">
        <v>303</v>
      </c>
      <c r="C76" s="46" t="s">
        <v>1043</v>
      </c>
      <c r="D76" s="46" t="s">
        <v>1043</v>
      </c>
      <c r="E76" s="46" t="s">
        <v>306</v>
      </c>
      <c r="F76" s="46" t="s">
        <v>1043</v>
      </c>
      <c r="G76" s="46" t="s">
        <v>1043</v>
      </c>
      <c r="H76" s="46" t="s">
        <v>1095</v>
      </c>
      <c r="I76" s="46" t="s">
        <v>1437</v>
      </c>
      <c r="J76" s="46" t="s">
        <v>1438</v>
      </c>
      <c r="K76" s="46" t="s">
        <v>1439</v>
      </c>
      <c r="L76" s="46" t="s">
        <v>1440</v>
      </c>
      <c r="M76" s="46" t="s">
        <v>1441</v>
      </c>
      <c r="N76" s="46" t="s">
        <v>1442</v>
      </c>
      <c r="O76" s="46" t="s">
        <v>1443</v>
      </c>
    </row>
    <row r="77" spans="2:15">
      <c r="B77" s="46" t="s">
        <v>303</v>
      </c>
      <c r="C77" s="46" t="s">
        <v>1043</v>
      </c>
      <c r="D77" s="46" t="s">
        <v>1043</v>
      </c>
      <c r="E77" s="46" t="s">
        <v>305</v>
      </c>
      <c r="F77" s="46" t="s">
        <v>1043</v>
      </c>
      <c r="G77" s="46" t="s">
        <v>1043</v>
      </c>
      <c r="H77" s="46" t="s">
        <v>1095</v>
      </c>
      <c r="I77" s="46" t="s">
        <v>1444</v>
      </c>
      <c r="J77" s="46" t="s">
        <v>1445</v>
      </c>
      <c r="K77" s="46" t="s">
        <v>1446</v>
      </c>
      <c r="L77" s="46" t="s">
        <v>1447</v>
      </c>
      <c r="M77" s="46" t="s">
        <v>1448</v>
      </c>
      <c r="N77" s="46" t="s">
        <v>1449</v>
      </c>
      <c r="O77" s="46" t="s">
        <v>1450</v>
      </c>
    </row>
    <row r="78" spans="2:15">
      <c r="B78" s="46" t="s">
        <v>303</v>
      </c>
      <c r="C78" s="46" t="s">
        <v>1043</v>
      </c>
      <c r="D78" s="46" t="s">
        <v>1043</v>
      </c>
      <c r="E78" s="46" t="s">
        <v>304</v>
      </c>
      <c r="F78" s="46" t="s">
        <v>1043</v>
      </c>
      <c r="G78" s="46" t="s">
        <v>1043</v>
      </c>
      <c r="H78" s="46" t="s">
        <v>1095</v>
      </c>
      <c r="I78" s="46" t="s">
        <v>1451</v>
      </c>
      <c r="J78" s="46" t="s">
        <v>1452</v>
      </c>
      <c r="K78" s="46" t="s">
        <v>1453</v>
      </c>
      <c r="L78" s="46" t="s">
        <v>1454</v>
      </c>
      <c r="M78" s="46" t="s">
        <v>1455</v>
      </c>
      <c r="N78" s="46" t="s">
        <v>1456</v>
      </c>
      <c r="O78" s="46" t="s">
        <v>1457</v>
      </c>
    </row>
    <row r="79" spans="2:15">
      <c r="B79" s="46" t="s">
        <v>303</v>
      </c>
      <c r="C79" s="46" t="s">
        <v>1043</v>
      </c>
      <c r="D79" s="46" t="s">
        <v>1043</v>
      </c>
      <c r="O79" s="46" t="s">
        <v>1464</v>
      </c>
    </row>
    <row r="80" spans="2:15">
      <c r="B80" s="46" t="s">
        <v>298</v>
      </c>
      <c r="C80" s="46" t="s">
        <v>1043</v>
      </c>
      <c r="D80" s="46" t="s">
        <v>1043</v>
      </c>
      <c r="E80" s="46" t="s">
        <v>302</v>
      </c>
      <c r="F80" s="46" t="s">
        <v>1043</v>
      </c>
      <c r="G80" s="46" t="s">
        <v>1043</v>
      </c>
      <c r="H80" s="46" t="s">
        <v>1095</v>
      </c>
      <c r="I80" s="46" t="s">
        <v>1465</v>
      </c>
      <c r="J80" s="46" t="s">
        <v>1466</v>
      </c>
      <c r="K80" s="46" t="s">
        <v>1467</v>
      </c>
      <c r="L80" s="46" t="s">
        <v>1468</v>
      </c>
      <c r="M80" s="46" t="s">
        <v>1469</v>
      </c>
      <c r="N80" s="46" t="s">
        <v>1470</v>
      </c>
      <c r="O80" s="46" t="s">
        <v>1471</v>
      </c>
    </row>
    <row r="81" spans="2:15">
      <c r="B81" s="46" t="s">
        <v>298</v>
      </c>
      <c r="C81" s="46" t="s">
        <v>1043</v>
      </c>
      <c r="D81" s="46" t="s">
        <v>1043</v>
      </c>
      <c r="E81" s="46" t="s">
        <v>301</v>
      </c>
      <c r="F81" s="46" t="s">
        <v>1043</v>
      </c>
      <c r="G81" s="46" t="s">
        <v>1043</v>
      </c>
      <c r="H81" s="46" t="s">
        <v>1095</v>
      </c>
      <c r="I81" s="46" t="s">
        <v>1472</v>
      </c>
      <c r="J81" s="46" t="s">
        <v>1473</v>
      </c>
      <c r="K81" s="46" t="s">
        <v>1474</v>
      </c>
      <c r="L81" s="46" t="s">
        <v>1475</v>
      </c>
      <c r="M81" s="46" t="s">
        <v>1476</v>
      </c>
      <c r="N81" s="46" t="s">
        <v>1477</v>
      </c>
      <c r="O81" s="46" t="s">
        <v>1478</v>
      </c>
    </row>
    <row r="82" spans="2:15">
      <c r="B82" s="46" t="s">
        <v>298</v>
      </c>
      <c r="C82" s="46" t="s">
        <v>1043</v>
      </c>
      <c r="D82" s="46" t="s">
        <v>1043</v>
      </c>
      <c r="E82" s="46" t="s">
        <v>300</v>
      </c>
      <c r="F82" s="46" t="s">
        <v>1043</v>
      </c>
      <c r="G82" s="46" t="s">
        <v>1043</v>
      </c>
      <c r="H82" s="46" t="s">
        <v>1095</v>
      </c>
      <c r="I82" s="46" t="s">
        <v>1479</v>
      </c>
      <c r="J82" s="46" t="s">
        <v>1480</v>
      </c>
      <c r="K82" s="46" t="s">
        <v>1481</v>
      </c>
      <c r="L82" s="46" t="s">
        <v>1482</v>
      </c>
      <c r="M82" s="46" t="s">
        <v>1483</v>
      </c>
      <c r="N82" s="46" t="s">
        <v>1484</v>
      </c>
      <c r="O82" s="46" t="s">
        <v>1485</v>
      </c>
    </row>
    <row r="83" spans="2:15">
      <c r="B83" s="46" t="s">
        <v>298</v>
      </c>
      <c r="C83" s="46" t="s">
        <v>1043</v>
      </c>
      <c r="D83" s="46" t="s">
        <v>1043</v>
      </c>
      <c r="E83" s="46" t="s">
        <v>299</v>
      </c>
      <c r="F83" s="46" t="s">
        <v>1043</v>
      </c>
      <c r="G83" s="46" t="s">
        <v>1043</v>
      </c>
      <c r="H83" s="46" t="s">
        <v>1095</v>
      </c>
      <c r="I83" s="46" t="s">
        <v>1486</v>
      </c>
      <c r="J83" s="46" t="s">
        <v>1487</v>
      </c>
      <c r="K83" s="46" t="s">
        <v>1488</v>
      </c>
      <c r="L83" s="46" t="s">
        <v>1489</v>
      </c>
      <c r="M83" s="46" t="s">
        <v>1490</v>
      </c>
      <c r="N83" s="46" t="s">
        <v>1491</v>
      </c>
      <c r="O83" s="46" t="s">
        <v>1492</v>
      </c>
    </row>
    <row r="84" spans="2:15">
      <c r="B84" s="46" t="s">
        <v>298</v>
      </c>
      <c r="C84" s="46" t="s">
        <v>1043</v>
      </c>
      <c r="D84" s="46" t="s">
        <v>1043</v>
      </c>
      <c r="O84" s="46" t="s">
        <v>1499</v>
      </c>
    </row>
    <row r="85" spans="2:15">
      <c r="B85" s="46" t="s">
        <v>297</v>
      </c>
      <c r="C85" s="46" t="s">
        <v>1043</v>
      </c>
      <c r="D85" s="46" t="s">
        <v>1043</v>
      </c>
      <c r="I85" s="46" t="s">
        <v>1500</v>
      </c>
      <c r="J85" s="46" t="s">
        <v>1501</v>
      </c>
      <c r="K85" s="46" t="s">
        <v>1502</v>
      </c>
      <c r="L85" s="46" t="s">
        <v>1503</v>
      </c>
      <c r="M85" s="46" t="s">
        <v>1504</v>
      </c>
      <c r="N85" s="46" t="s">
        <v>1505</v>
      </c>
      <c r="O85" s="46" t="s">
        <v>1506</v>
      </c>
    </row>
    <row r="86" spans="2:15">
      <c r="B86" s="46" t="s">
        <v>296</v>
      </c>
      <c r="C86" s="46" t="s">
        <v>1043</v>
      </c>
      <c r="D86" s="46" t="s">
        <v>1043</v>
      </c>
      <c r="I86" s="46" t="s">
        <v>1507</v>
      </c>
      <c r="J86" s="46" t="s">
        <v>1508</v>
      </c>
      <c r="K86" s="46" t="s">
        <v>1509</v>
      </c>
      <c r="L86" s="46" t="s">
        <v>1510</v>
      </c>
      <c r="M86" s="46" t="s">
        <v>1511</v>
      </c>
      <c r="N86" s="46" t="s">
        <v>1512</v>
      </c>
      <c r="O86" s="46" t="s">
        <v>1513</v>
      </c>
    </row>
    <row r="87" spans="2:15">
      <c r="B87" s="46" t="s">
        <v>295</v>
      </c>
      <c r="C87" s="46" t="s">
        <v>1043</v>
      </c>
      <c r="D87" s="46" t="s">
        <v>1043</v>
      </c>
      <c r="I87" s="46" t="s">
        <v>1514</v>
      </c>
      <c r="J87" s="46" t="s">
        <v>1515</v>
      </c>
      <c r="K87" s="46" t="s">
        <v>1516</v>
      </c>
      <c r="L87" s="46" t="s">
        <v>1517</v>
      </c>
      <c r="M87" s="46" t="s">
        <v>1518</v>
      </c>
      <c r="N87" s="46" t="s">
        <v>1519</v>
      </c>
      <c r="O87" s="46" t="s">
        <v>1520</v>
      </c>
    </row>
    <row r="88" spans="2:15">
      <c r="B88" s="46" t="s">
        <v>291</v>
      </c>
      <c r="C88" s="46" t="s">
        <v>1043</v>
      </c>
      <c r="D88" s="46" t="s">
        <v>1043</v>
      </c>
      <c r="E88" s="46" t="s">
        <v>294</v>
      </c>
      <c r="F88" s="46" t="s">
        <v>1043</v>
      </c>
      <c r="G88" s="46" t="s">
        <v>1043</v>
      </c>
      <c r="H88" s="46" t="s">
        <v>1095</v>
      </c>
      <c r="I88" s="46" t="s">
        <v>1521</v>
      </c>
      <c r="J88" s="46" t="s">
        <v>1522</v>
      </c>
      <c r="K88" s="46" t="s">
        <v>1523</v>
      </c>
      <c r="L88" s="46" t="s">
        <v>1524</v>
      </c>
      <c r="M88" s="46" t="s">
        <v>1525</v>
      </c>
      <c r="N88" s="46" t="s">
        <v>1526</v>
      </c>
      <c r="O88" s="46" t="s">
        <v>1527</v>
      </c>
    </row>
    <row r="89" spans="2:15">
      <c r="B89" s="46" t="s">
        <v>291</v>
      </c>
      <c r="C89" s="46" t="s">
        <v>1043</v>
      </c>
      <c r="D89" s="46" t="s">
        <v>1043</v>
      </c>
      <c r="E89" s="46" t="s">
        <v>293</v>
      </c>
      <c r="F89" s="46" t="s">
        <v>1043</v>
      </c>
      <c r="G89" s="46" t="s">
        <v>1043</v>
      </c>
      <c r="H89" s="46" t="s">
        <v>1095</v>
      </c>
      <c r="I89" s="46" t="s">
        <v>1528</v>
      </c>
      <c r="J89" s="46" t="s">
        <v>1529</v>
      </c>
      <c r="K89" s="46" t="s">
        <v>1530</v>
      </c>
      <c r="L89" s="46" t="s">
        <v>1531</v>
      </c>
      <c r="M89" s="46" t="s">
        <v>1532</v>
      </c>
      <c r="N89" s="46" t="s">
        <v>1533</v>
      </c>
      <c r="O89" s="46" t="s">
        <v>1534</v>
      </c>
    </row>
    <row r="90" spans="2:15">
      <c r="B90" s="46" t="s">
        <v>291</v>
      </c>
      <c r="C90" s="46" t="s">
        <v>1043</v>
      </c>
      <c r="D90" s="46" t="s">
        <v>1043</v>
      </c>
      <c r="E90" s="46" t="s">
        <v>292</v>
      </c>
      <c r="F90" s="46" t="s">
        <v>1043</v>
      </c>
      <c r="G90" s="46" t="s">
        <v>1043</v>
      </c>
      <c r="H90" s="46" t="s">
        <v>1095</v>
      </c>
      <c r="I90" s="46" t="s">
        <v>1535</v>
      </c>
      <c r="J90" s="46" t="s">
        <v>1536</v>
      </c>
      <c r="K90" s="46" t="s">
        <v>1537</v>
      </c>
      <c r="L90" s="46" t="s">
        <v>1538</v>
      </c>
      <c r="M90" s="46" t="s">
        <v>1539</v>
      </c>
      <c r="N90" s="46" t="s">
        <v>1540</v>
      </c>
      <c r="O90" s="46" t="s">
        <v>1541</v>
      </c>
    </row>
    <row r="91" spans="2:15">
      <c r="B91" s="46" t="s">
        <v>291</v>
      </c>
      <c r="C91" s="46" t="s">
        <v>1043</v>
      </c>
      <c r="D91" s="46" t="s">
        <v>1043</v>
      </c>
      <c r="O91" s="46" t="s">
        <v>1548</v>
      </c>
    </row>
    <row r="92" spans="2:15">
      <c r="B92" s="46" t="s">
        <v>287</v>
      </c>
      <c r="C92" s="46" t="s">
        <v>1043</v>
      </c>
      <c r="D92" s="46" t="s">
        <v>1043</v>
      </c>
      <c r="E92" s="46" t="s">
        <v>290</v>
      </c>
      <c r="F92" s="46" t="s">
        <v>1043</v>
      </c>
      <c r="G92" s="46" t="s">
        <v>1043</v>
      </c>
      <c r="H92" s="46" t="s">
        <v>1095</v>
      </c>
      <c r="I92" s="46" t="s">
        <v>1549</v>
      </c>
      <c r="J92" s="46" t="s">
        <v>1550</v>
      </c>
      <c r="K92" s="46" t="s">
        <v>1551</v>
      </c>
      <c r="L92" s="46" t="s">
        <v>1552</v>
      </c>
      <c r="M92" s="46" t="s">
        <v>1553</v>
      </c>
      <c r="N92" s="46" t="s">
        <v>1554</v>
      </c>
      <c r="O92" s="46" t="s">
        <v>1555</v>
      </c>
    </row>
    <row r="93" spans="2:15">
      <c r="B93" s="46" t="s">
        <v>287</v>
      </c>
      <c r="C93" s="46" t="s">
        <v>1043</v>
      </c>
      <c r="D93" s="46" t="s">
        <v>1043</v>
      </c>
      <c r="E93" s="46" t="s">
        <v>289</v>
      </c>
      <c r="F93" s="46" t="s">
        <v>1043</v>
      </c>
      <c r="G93" s="46" t="s">
        <v>1043</v>
      </c>
      <c r="H93" s="46" t="s">
        <v>1095</v>
      </c>
      <c r="I93" s="46" t="s">
        <v>1556</v>
      </c>
      <c r="J93" s="46" t="s">
        <v>1557</v>
      </c>
      <c r="K93" s="46" t="s">
        <v>1558</v>
      </c>
      <c r="L93" s="46" t="s">
        <v>1559</v>
      </c>
      <c r="M93" s="46" t="s">
        <v>1560</v>
      </c>
      <c r="N93" s="46" t="s">
        <v>1561</v>
      </c>
      <c r="O93" s="46" t="s">
        <v>1562</v>
      </c>
    </row>
    <row r="94" spans="2:15">
      <c r="B94" s="46" t="s">
        <v>287</v>
      </c>
      <c r="C94" s="46" t="s">
        <v>1043</v>
      </c>
      <c r="D94" s="46" t="s">
        <v>1043</v>
      </c>
      <c r="E94" s="46" t="s">
        <v>288</v>
      </c>
      <c r="F94" s="46" t="s">
        <v>1043</v>
      </c>
      <c r="G94" s="46" t="s">
        <v>1043</v>
      </c>
      <c r="H94" s="46" t="s">
        <v>1095</v>
      </c>
      <c r="I94" s="46" t="s">
        <v>1563</v>
      </c>
      <c r="J94" s="46" t="s">
        <v>1564</v>
      </c>
      <c r="K94" s="46" t="s">
        <v>1565</v>
      </c>
      <c r="L94" s="46" t="s">
        <v>1566</v>
      </c>
      <c r="M94" s="46" t="s">
        <v>1567</v>
      </c>
      <c r="N94" s="46" t="s">
        <v>1568</v>
      </c>
      <c r="O94" s="46" t="s">
        <v>1569</v>
      </c>
    </row>
    <row r="95" spans="2:15">
      <c r="B95" s="46" t="s">
        <v>287</v>
      </c>
      <c r="C95" s="46" t="s">
        <v>1043</v>
      </c>
      <c r="D95" s="46" t="s">
        <v>1043</v>
      </c>
      <c r="O95" s="46" t="s">
        <v>1576</v>
      </c>
    </row>
    <row r="96" spans="2:15">
      <c r="B96" s="46" t="s">
        <v>283</v>
      </c>
      <c r="C96" s="46" t="s">
        <v>1043</v>
      </c>
      <c r="D96" s="46" t="s">
        <v>1043</v>
      </c>
      <c r="E96" s="46" t="s">
        <v>286</v>
      </c>
      <c r="F96" s="46" t="s">
        <v>1043</v>
      </c>
      <c r="G96" s="46" t="s">
        <v>1043</v>
      </c>
      <c r="H96" s="46" t="s">
        <v>1095</v>
      </c>
      <c r="I96" s="46" t="s">
        <v>1577</v>
      </c>
      <c r="J96" s="46" t="s">
        <v>1578</v>
      </c>
      <c r="K96" s="46" t="s">
        <v>1579</v>
      </c>
      <c r="L96" s="46" t="s">
        <v>1580</v>
      </c>
      <c r="M96" s="46" t="s">
        <v>1581</v>
      </c>
      <c r="N96" s="46" t="s">
        <v>1582</v>
      </c>
      <c r="O96" s="46" t="s">
        <v>1583</v>
      </c>
    </row>
    <row r="97" spans="2:15">
      <c r="B97" s="46" t="s">
        <v>283</v>
      </c>
      <c r="C97" s="46" t="s">
        <v>1043</v>
      </c>
      <c r="D97" s="46" t="s">
        <v>1043</v>
      </c>
      <c r="E97" s="46" t="s">
        <v>285</v>
      </c>
      <c r="F97" s="46" t="s">
        <v>1043</v>
      </c>
      <c r="G97" s="46" t="s">
        <v>1043</v>
      </c>
      <c r="H97" s="46" t="s">
        <v>1095</v>
      </c>
      <c r="I97" s="46" t="s">
        <v>1584</v>
      </c>
      <c r="J97" s="46" t="s">
        <v>1585</v>
      </c>
      <c r="K97" s="46" t="s">
        <v>1586</v>
      </c>
      <c r="L97" s="46" t="s">
        <v>1587</v>
      </c>
      <c r="M97" s="46" t="s">
        <v>1588</v>
      </c>
      <c r="N97" s="46" t="s">
        <v>1589</v>
      </c>
      <c r="O97" s="46" t="s">
        <v>1590</v>
      </c>
    </row>
    <row r="98" spans="2:15">
      <c r="B98" s="46" t="s">
        <v>283</v>
      </c>
      <c r="C98" s="46" t="s">
        <v>1043</v>
      </c>
      <c r="D98" s="46" t="s">
        <v>1043</v>
      </c>
      <c r="E98" s="46" t="s">
        <v>284</v>
      </c>
      <c r="F98" s="46" t="s">
        <v>1043</v>
      </c>
      <c r="G98" s="46" t="s">
        <v>1043</v>
      </c>
      <c r="H98" s="46" t="s">
        <v>1095</v>
      </c>
      <c r="I98" s="46" t="s">
        <v>1591</v>
      </c>
      <c r="J98" s="46" t="s">
        <v>1592</v>
      </c>
      <c r="K98" s="46" t="s">
        <v>1593</v>
      </c>
      <c r="L98" s="46" t="s">
        <v>1594</v>
      </c>
      <c r="M98" s="46" t="s">
        <v>1595</v>
      </c>
      <c r="N98" s="46" t="s">
        <v>1596</v>
      </c>
      <c r="O98" s="46" t="s">
        <v>1597</v>
      </c>
    </row>
    <row r="99" spans="2:15">
      <c r="B99" s="46" t="s">
        <v>283</v>
      </c>
      <c r="C99" s="46" t="s">
        <v>1043</v>
      </c>
      <c r="D99" s="46" t="s">
        <v>1043</v>
      </c>
      <c r="O99" s="46" t="s">
        <v>1604</v>
      </c>
    </row>
    <row r="100" spans="2:15">
      <c r="B100" s="46" t="s">
        <v>279</v>
      </c>
      <c r="C100" s="46" t="s">
        <v>1043</v>
      </c>
      <c r="D100" s="46" t="s">
        <v>1043</v>
      </c>
      <c r="E100" s="46" t="s">
        <v>282</v>
      </c>
      <c r="F100" s="46" t="s">
        <v>1043</v>
      </c>
      <c r="G100" s="46" t="s">
        <v>1043</v>
      </c>
      <c r="H100" s="46" t="s">
        <v>1095</v>
      </c>
      <c r="I100" s="46" t="s">
        <v>1605</v>
      </c>
      <c r="J100" s="46" t="s">
        <v>1606</v>
      </c>
      <c r="K100" s="46" t="s">
        <v>1607</v>
      </c>
      <c r="L100" s="46" t="s">
        <v>1608</v>
      </c>
      <c r="M100" s="46" t="s">
        <v>1609</v>
      </c>
      <c r="N100" s="46" t="s">
        <v>1610</v>
      </c>
      <c r="O100" s="46" t="s">
        <v>1611</v>
      </c>
    </row>
    <row r="101" spans="2:15">
      <c r="B101" s="46" t="s">
        <v>279</v>
      </c>
      <c r="C101" s="46" t="s">
        <v>1043</v>
      </c>
      <c r="D101" s="46" t="s">
        <v>1043</v>
      </c>
      <c r="E101" s="46" t="s">
        <v>281</v>
      </c>
      <c r="F101" s="46" t="s">
        <v>1043</v>
      </c>
      <c r="G101" s="46" t="s">
        <v>1043</v>
      </c>
      <c r="H101" s="46" t="s">
        <v>1095</v>
      </c>
      <c r="I101" s="46" t="s">
        <v>1612</v>
      </c>
      <c r="J101" s="46" t="s">
        <v>1613</v>
      </c>
      <c r="K101" s="46" t="s">
        <v>1614</v>
      </c>
      <c r="L101" s="46" t="s">
        <v>1615</v>
      </c>
      <c r="M101" s="46" t="s">
        <v>1616</v>
      </c>
      <c r="N101" s="46" t="s">
        <v>1617</v>
      </c>
      <c r="O101" s="46" t="s">
        <v>1618</v>
      </c>
    </row>
    <row r="102" spans="2:15">
      <c r="B102" s="46" t="s">
        <v>279</v>
      </c>
      <c r="C102" s="46" t="s">
        <v>1043</v>
      </c>
      <c r="D102" s="46" t="s">
        <v>1043</v>
      </c>
      <c r="E102" s="46" t="s">
        <v>280</v>
      </c>
      <c r="F102" s="46" t="s">
        <v>1043</v>
      </c>
      <c r="G102" s="46" t="s">
        <v>1043</v>
      </c>
      <c r="H102" s="46" t="s">
        <v>1095</v>
      </c>
      <c r="I102" s="46" t="s">
        <v>1619</v>
      </c>
      <c r="J102" s="46" t="s">
        <v>1620</v>
      </c>
      <c r="K102" s="46" t="s">
        <v>1621</v>
      </c>
      <c r="L102" s="46" t="s">
        <v>1622</v>
      </c>
      <c r="M102" s="46" t="s">
        <v>1623</v>
      </c>
      <c r="N102" s="46" t="s">
        <v>1624</v>
      </c>
      <c r="O102" s="46" t="s">
        <v>1625</v>
      </c>
    </row>
    <row r="103" spans="2:15">
      <c r="B103" s="46" t="s">
        <v>279</v>
      </c>
      <c r="C103" s="46" t="s">
        <v>1043</v>
      </c>
      <c r="D103" s="46" t="s">
        <v>1043</v>
      </c>
      <c r="O103" s="46" t="s">
        <v>1632</v>
      </c>
    </row>
    <row r="104" spans="2:15">
      <c r="B104" s="46" t="s">
        <v>278</v>
      </c>
      <c r="C104" s="46" t="s">
        <v>1043</v>
      </c>
      <c r="D104" s="46" t="s">
        <v>1043</v>
      </c>
      <c r="I104" s="46" t="s">
        <v>1633</v>
      </c>
      <c r="J104" s="46" t="s">
        <v>1634</v>
      </c>
      <c r="K104" s="46" t="s">
        <v>1635</v>
      </c>
      <c r="L104" s="46" t="s">
        <v>1636</v>
      </c>
      <c r="M104" s="46" t="s">
        <v>1637</v>
      </c>
      <c r="N104" s="46" t="s">
        <v>1638</v>
      </c>
      <c r="O104" s="46" t="s">
        <v>1639</v>
      </c>
    </row>
    <row r="105" spans="2:15">
      <c r="B105" s="46" t="s">
        <v>277</v>
      </c>
      <c r="C105" s="46" t="s">
        <v>1043</v>
      </c>
      <c r="D105" s="46" t="s">
        <v>1043</v>
      </c>
      <c r="I105" s="46" t="s">
        <v>1640</v>
      </c>
      <c r="J105" s="46" t="s">
        <v>1641</v>
      </c>
      <c r="K105" s="46" t="s">
        <v>1642</v>
      </c>
      <c r="L105" s="46" t="s">
        <v>1643</v>
      </c>
      <c r="M105" s="46" t="s">
        <v>1644</v>
      </c>
      <c r="N105" s="46" t="s">
        <v>1645</v>
      </c>
      <c r="O105" s="46" t="s">
        <v>1646</v>
      </c>
    </row>
    <row r="106" spans="2:15">
      <c r="B106" s="46" t="s">
        <v>276</v>
      </c>
      <c r="C106" s="46" t="s">
        <v>1043</v>
      </c>
      <c r="D106" s="46" t="s">
        <v>1043</v>
      </c>
      <c r="I106" s="46" t="s">
        <v>1647</v>
      </c>
      <c r="J106" s="46" t="s">
        <v>1648</v>
      </c>
      <c r="K106" s="46" t="s">
        <v>1649</v>
      </c>
      <c r="L106" s="46" t="s">
        <v>1650</v>
      </c>
      <c r="M106" s="46" t="s">
        <v>1651</v>
      </c>
      <c r="N106" s="46" t="s">
        <v>1652</v>
      </c>
      <c r="O106" s="46" t="s">
        <v>1653</v>
      </c>
    </row>
    <row r="107" spans="2:15">
      <c r="B107" s="46" t="s">
        <v>275</v>
      </c>
      <c r="C107" s="46" t="s">
        <v>1043</v>
      </c>
      <c r="D107" s="46" t="s">
        <v>1043</v>
      </c>
      <c r="I107" s="46" t="s">
        <v>1654</v>
      </c>
      <c r="J107" s="46" t="s">
        <v>1655</v>
      </c>
      <c r="K107" s="46" t="s">
        <v>1656</v>
      </c>
      <c r="L107" s="46" t="s">
        <v>1657</v>
      </c>
      <c r="M107" s="46" t="s">
        <v>1658</v>
      </c>
      <c r="N107" s="46" t="s">
        <v>1659</v>
      </c>
      <c r="O107" s="46" t="s">
        <v>1660</v>
      </c>
    </row>
    <row r="108" spans="2:15">
      <c r="B108" s="46" t="s">
        <v>274</v>
      </c>
      <c r="C108" s="46" t="s">
        <v>1043</v>
      </c>
      <c r="D108" s="46" t="s">
        <v>1043</v>
      </c>
      <c r="I108" s="46" t="s">
        <v>1661</v>
      </c>
      <c r="J108" s="46" t="s">
        <v>1662</v>
      </c>
      <c r="K108" s="46" t="s">
        <v>1663</v>
      </c>
      <c r="L108" s="46" t="s">
        <v>1664</v>
      </c>
      <c r="M108" s="46" t="s">
        <v>1665</v>
      </c>
      <c r="N108" s="46" t="s">
        <v>1666</v>
      </c>
      <c r="O108" s="46" t="s">
        <v>1667</v>
      </c>
    </row>
    <row r="109" spans="2:15">
      <c r="B109" s="46" t="s">
        <v>273</v>
      </c>
      <c r="C109" s="46" t="s">
        <v>1043</v>
      </c>
      <c r="D109" s="46" t="s">
        <v>1043</v>
      </c>
      <c r="I109" s="46" t="s">
        <v>1668</v>
      </c>
      <c r="J109" s="46" t="s">
        <v>1669</v>
      </c>
      <c r="K109" s="46" t="s">
        <v>1670</v>
      </c>
      <c r="L109" s="46" t="s">
        <v>1671</v>
      </c>
      <c r="M109" s="46" t="s">
        <v>1672</v>
      </c>
      <c r="N109" s="46" t="s">
        <v>1673</v>
      </c>
      <c r="O109" s="46" t="s">
        <v>1674</v>
      </c>
    </row>
    <row r="110" spans="2:15">
      <c r="B110" s="46" t="s">
        <v>272</v>
      </c>
      <c r="C110" s="46" t="s">
        <v>1043</v>
      </c>
      <c r="D110" s="46" t="s">
        <v>1043</v>
      </c>
      <c r="I110" s="46" t="s">
        <v>1675</v>
      </c>
      <c r="J110" s="46" t="s">
        <v>1676</v>
      </c>
      <c r="K110" s="46" t="s">
        <v>1677</v>
      </c>
      <c r="L110" s="46" t="s">
        <v>1678</v>
      </c>
      <c r="M110" s="46" t="s">
        <v>1679</v>
      </c>
      <c r="N110" s="46" t="s">
        <v>1680</v>
      </c>
      <c r="O110" s="46" t="s">
        <v>1681</v>
      </c>
    </row>
    <row r="111" spans="2:15">
      <c r="B111" s="46" t="s">
        <v>271</v>
      </c>
      <c r="C111" s="46" t="s">
        <v>1043</v>
      </c>
      <c r="D111" s="46" t="s">
        <v>1043</v>
      </c>
      <c r="I111" s="46" t="s">
        <v>1682</v>
      </c>
      <c r="J111" s="46" t="s">
        <v>1683</v>
      </c>
      <c r="K111" s="46" t="s">
        <v>1684</v>
      </c>
      <c r="L111" s="46" t="s">
        <v>1685</v>
      </c>
      <c r="M111" s="46" t="s">
        <v>1686</v>
      </c>
      <c r="N111" s="46" t="s">
        <v>1687</v>
      </c>
      <c r="O111" s="46" t="s">
        <v>1688</v>
      </c>
    </row>
    <row r="112" spans="2:15">
      <c r="B112" s="46" t="s">
        <v>270</v>
      </c>
      <c r="C112" s="46" t="s">
        <v>1043</v>
      </c>
      <c r="D112" s="46" t="s">
        <v>1043</v>
      </c>
      <c r="I112" s="46" t="s">
        <v>1689</v>
      </c>
      <c r="J112" s="46" t="s">
        <v>1690</v>
      </c>
      <c r="K112" s="46" t="s">
        <v>1691</v>
      </c>
      <c r="L112" s="46" t="s">
        <v>1692</v>
      </c>
      <c r="M112" s="46" t="s">
        <v>1693</v>
      </c>
      <c r="N112" s="46" t="s">
        <v>1694</v>
      </c>
      <c r="O112" s="46" t="s">
        <v>1695</v>
      </c>
    </row>
    <row r="113" spans="2:15">
      <c r="B113" s="46" t="s">
        <v>269</v>
      </c>
      <c r="C113" s="46" t="s">
        <v>1043</v>
      </c>
      <c r="D113" s="46" t="s">
        <v>1043</v>
      </c>
      <c r="I113" s="46" t="s">
        <v>1696</v>
      </c>
      <c r="J113" s="46" t="s">
        <v>1697</v>
      </c>
      <c r="K113" s="46" t="s">
        <v>1698</v>
      </c>
      <c r="L113" s="46" t="s">
        <v>1699</v>
      </c>
      <c r="M113" s="46" t="s">
        <v>1700</v>
      </c>
      <c r="N113" s="46" t="s">
        <v>1701</v>
      </c>
      <c r="O113" s="46" t="s">
        <v>1702</v>
      </c>
    </row>
    <row r="114" spans="2:15">
      <c r="B114" s="46" t="s">
        <v>268</v>
      </c>
      <c r="C114" s="46" t="s">
        <v>1043</v>
      </c>
      <c r="D114" s="46" t="s">
        <v>1043</v>
      </c>
      <c r="I114" s="46" t="s">
        <v>1703</v>
      </c>
      <c r="J114" s="46" t="s">
        <v>1704</v>
      </c>
      <c r="K114" s="46" t="s">
        <v>1705</v>
      </c>
      <c r="L114" s="46" t="s">
        <v>1706</v>
      </c>
      <c r="M114" s="46" t="s">
        <v>1707</v>
      </c>
      <c r="N114" s="46" t="s">
        <v>1708</v>
      </c>
      <c r="O114" s="46" t="s">
        <v>1709</v>
      </c>
    </row>
    <row r="115" spans="2:15">
      <c r="B115" s="46" t="s">
        <v>267</v>
      </c>
      <c r="C115" s="46" t="s">
        <v>1043</v>
      </c>
      <c r="D115" s="46" t="s">
        <v>1043</v>
      </c>
      <c r="I115" s="46" t="s">
        <v>1710</v>
      </c>
      <c r="J115" s="46" t="s">
        <v>1711</v>
      </c>
      <c r="K115" s="46" t="s">
        <v>1712</v>
      </c>
      <c r="L115" s="46" t="s">
        <v>1713</v>
      </c>
      <c r="M115" s="46" t="s">
        <v>1714</v>
      </c>
      <c r="N115" s="46" t="s">
        <v>1715</v>
      </c>
      <c r="O115" s="46" t="s">
        <v>1716</v>
      </c>
    </row>
    <row r="116" spans="2:15">
      <c r="B116" s="46" t="s">
        <v>266</v>
      </c>
      <c r="C116" s="46" t="s">
        <v>1043</v>
      </c>
      <c r="D116" s="46" t="s">
        <v>1043</v>
      </c>
      <c r="I116" s="46" t="s">
        <v>1718</v>
      </c>
      <c r="J116" s="46" t="s">
        <v>1719</v>
      </c>
      <c r="K116" s="46" t="s">
        <v>1720</v>
      </c>
      <c r="L116" s="46" t="s">
        <v>1721</v>
      </c>
      <c r="M116" s="46" t="s">
        <v>1722</v>
      </c>
      <c r="N116" s="46" t="s">
        <v>1723</v>
      </c>
      <c r="O116" s="46" t="s">
        <v>1724</v>
      </c>
    </row>
    <row r="117" spans="2:15">
      <c r="B117" s="46" t="s">
        <v>265</v>
      </c>
      <c r="C117" s="46" t="s">
        <v>1043</v>
      </c>
      <c r="D117" s="46" t="s">
        <v>1043</v>
      </c>
      <c r="I117" s="46" t="s">
        <v>1726</v>
      </c>
      <c r="J117" s="46" t="s">
        <v>1727</v>
      </c>
      <c r="K117" s="46" t="s">
        <v>1728</v>
      </c>
      <c r="L117" s="46" t="s">
        <v>1729</v>
      </c>
      <c r="M117" s="46" t="s">
        <v>1730</v>
      </c>
      <c r="N117" s="46" t="s">
        <v>1731</v>
      </c>
      <c r="O117" s="46" t="s">
        <v>1732</v>
      </c>
    </row>
    <row r="118" spans="2:15">
      <c r="B118" s="46" t="s">
        <v>264</v>
      </c>
      <c r="C118" s="46" t="s">
        <v>1043</v>
      </c>
      <c r="D118" s="46" t="s">
        <v>1043</v>
      </c>
      <c r="I118" s="46" t="s">
        <v>2363</v>
      </c>
      <c r="J118" s="46" t="s">
        <v>2364</v>
      </c>
      <c r="K118" s="46" t="s">
        <v>2365</v>
      </c>
      <c r="L118" s="46" t="s">
        <v>2366</v>
      </c>
      <c r="M118" s="46" t="s">
        <v>2367</v>
      </c>
      <c r="N118" s="46" t="s">
        <v>2368</v>
      </c>
      <c r="O118" s="46" t="s">
        <v>1733</v>
      </c>
    </row>
    <row r="119" spans="2:15">
      <c r="B119" s="46" t="s">
        <v>263</v>
      </c>
      <c r="C119" s="46" t="s">
        <v>1043</v>
      </c>
      <c r="D119" s="46" t="s">
        <v>1043</v>
      </c>
      <c r="I119" s="46" t="s">
        <v>1734</v>
      </c>
      <c r="J119" s="46" t="s">
        <v>1735</v>
      </c>
      <c r="K119" s="46" t="s">
        <v>1736</v>
      </c>
      <c r="L119" s="46" t="s">
        <v>1737</v>
      </c>
      <c r="M119" s="46" t="s">
        <v>1738</v>
      </c>
      <c r="N119" s="46" t="s">
        <v>1739</v>
      </c>
      <c r="O119" s="46" t="s">
        <v>1740</v>
      </c>
    </row>
    <row r="120" spans="2:15">
      <c r="B120" s="46" t="s">
        <v>262</v>
      </c>
      <c r="C120" s="46" t="s">
        <v>1043</v>
      </c>
      <c r="D120" s="46" t="s">
        <v>1043</v>
      </c>
      <c r="I120" s="46" t="s">
        <v>1741</v>
      </c>
      <c r="J120" s="46" t="s">
        <v>1742</v>
      </c>
      <c r="K120" s="46" t="s">
        <v>1743</v>
      </c>
      <c r="L120" s="46" t="s">
        <v>1744</v>
      </c>
      <c r="M120" s="46" t="s">
        <v>1745</v>
      </c>
      <c r="N120" s="46" t="s">
        <v>1746</v>
      </c>
      <c r="O120" s="46" t="s">
        <v>1747</v>
      </c>
    </row>
    <row r="121" spans="2:15">
      <c r="B121" s="46" t="s">
        <v>261</v>
      </c>
      <c r="C121" s="46" t="s">
        <v>1043</v>
      </c>
      <c r="D121" s="46" t="s">
        <v>1043</v>
      </c>
      <c r="I121" s="46" t="s">
        <v>1748</v>
      </c>
      <c r="J121" s="46" t="s">
        <v>1749</v>
      </c>
      <c r="K121" s="46" t="s">
        <v>1750</v>
      </c>
      <c r="L121" s="46" t="s">
        <v>1751</v>
      </c>
      <c r="M121" s="46" t="s">
        <v>1752</v>
      </c>
      <c r="N121" s="46" t="s">
        <v>1753</v>
      </c>
      <c r="O121" s="46" t="s">
        <v>1754</v>
      </c>
    </row>
    <row r="122" spans="2:15">
      <c r="B122" s="46" t="s">
        <v>260</v>
      </c>
      <c r="C122" s="46" t="s">
        <v>1043</v>
      </c>
      <c r="D122" s="46" t="s">
        <v>1043</v>
      </c>
      <c r="I122" s="46" t="s">
        <v>1755</v>
      </c>
      <c r="J122" s="46" t="s">
        <v>1756</v>
      </c>
      <c r="K122" s="46" t="s">
        <v>1757</v>
      </c>
      <c r="L122" s="46" t="s">
        <v>1758</v>
      </c>
      <c r="M122" s="46" t="s">
        <v>1759</v>
      </c>
      <c r="N122" s="46" t="s">
        <v>1760</v>
      </c>
      <c r="O122" s="46" t="s">
        <v>1761</v>
      </c>
    </row>
    <row r="123" spans="2:15">
      <c r="B123" s="46" t="s">
        <v>259</v>
      </c>
      <c r="C123" s="46" t="s">
        <v>1043</v>
      </c>
      <c r="D123" s="46" t="s">
        <v>1043</v>
      </c>
      <c r="I123" s="46" t="s">
        <v>1762</v>
      </c>
      <c r="J123" s="46" t="s">
        <v>1763</v>
      </c>
      <c r="K123" s="46" t="s">
        <v>1764</v>
      </c>
      <c r="L123" s="46" t="s">
        <v>1765</v>
      </c>
      <c r="M123" s="46" t="s">
        <v>1766</v>
      </c>
      <c r="N123" s="46" t="s">
        <v>1767</v>
      </c>
      <c r="O123" s="46" t="s">
        <v>1768</v>
      </c>
    </row>
    <row r="124" spans="2:15">
      <c r="B124" s="46" t="s">
        <v>258</v>
      </c>
      <c r="C124" s="46" t="s">
        <v>1043</v>
      </c>
      <c r="D124" s="46" t="s">
        <v>1043</v>
      </c>
      <c r="I124" s="46" t="s">
        <v>1769</v>
      </c>
      <c r="J124" s="46" t="s">
        <v>1770</v>
      </c>
      <c r="K124" s="46" t="s">
        <v>1771</v>
      </c>
      <c r="L124" s="46" t="s">
        <v>1772</v>
      </c>
      <c r="M124" s="46" t="s">
        <v>1773</v>
      </c>
      <c r="N124" s="46" t="s">
        <v>1774</v>
      </c>
      <c r="O124" s="46" t="s">
        <v>1775</v>
      </c>
    </row>
    <row r="125" spans="2:15">
      <c r="B125" s="46" t="s">
        <v>257</v>
      </c>
      <c r="C125" s="46" t="s">
        <v>1043</v>
      </c>
      <c r="D125" s="46" t="s">
        <v>1043</v>
      </c>
      <c r="I125" s="46" t="s">
        <v>1776</v>
      </c>
      <c r="J125" s="46" t="s">
        <v>1777</v>
      </c>
      <c r="K125" s="46" t="s">
        <v>1778</v>
      </c>
      <c r="L125" s="46" t="s">
        <v>1779</v>
      </c>
      <c r="M125" s="46" t="s">
        <v>1780</v>
      </c>
      <c r="N125" s="46" t="s">
        <v>1781</v>
      </c>
      <c r="O125" s="46" t="s">
        <v>1782</v>
      </c>
    </row>
    <row r="126" spans="2:15">
      <c r="B126" s="46" t="s">
        <v>256</v>
      </c>
      <c r="C126" s="46" t="s">
        <v>1043</v>
      </c>
      <c r="D126" s="46" t="s">
        <v>1043</v>
      </c>
      <c r="I126" s="46" t="s">
        <v>1783</v>
      </c>
      <c r="J126" s="46" t="s">
        <v>1784</v>
      </c>
      <c r="K126" s="46" t="s">
        <v>1785</v>
      </c>
      <c r="L126" s="46" t="s">
        <v>1786</v>
      </c>
      <c r="M126" s="46" t="s">
        <v>1787</v>
      </c>
      <c r="N126" s="46" t="s">
        <v>1788</v>
      </c>
      <c r="O126" s="46" t="s">
        <v>1789</v>
      </c>
    </row>
    <row r="127" spans="2:15">
      <c r="B127" s="46" t="s">
        <v>255</v>
      </c>
      <c r="C127" s="46" t="s">
        <v>1043</v>
      </c>
      <c r="D127" s="46" t="s">
        <v>1043</v>
      </c>
      <c r="I127" s="46" t="s">
        <v>1790</v>
      </c>
      <c r="J127" s="46" t="s">
        <v>1791</v>
      </c>
      <c r="K127" s="46" t="s">
        <v>1792</v>
      </c>
      <c r="L127" s="46" t="s">
        <v>1793</v>
      </c>
      <c r="M127" s="46" t="s">
        <v>1794</v>
      </c>
      <c r="N127" s="46" t="s">
        <v>1795</v>
      </c>
      <c r="O127" s="46" t="s">
        <v>1796</v>
      </c>
    </row>
    <row r="128" spans="2:15">
      <c r="B128" s="46" t="s">
        <v>254</v>
      </c>
      <c r="C128" s="46" t="s">
        <v>1043</v>
      </c>
      <c r="D128" s="46" t="s">
        <v>1043</v>
      </c>
      <c r="I128" s="46" t="s">
        <v>1797</v>
      </c>
      <c r="J128" s="46" t="s">
        <v>1798</v>
      </c>
      <c r="K128" s="46" t="s">
        <v>1799</v>
      </c>
      <c r="L128" s="46" t="s">
        <v>1800</v>
      </c>
      <c r="M128" s="46" t="s">
        <v>1801</v>
      </c>
      <c r="N128" s="46" t="s">
        <v>1802</v>
      </c>
      <c r="O128" s="46" t="s">
        <v>1803</v>
      </c>
    </row>
    <row r="129" spans="2:15">
      <c r="B129" s="46" t="s">
        <v>253</v>
      </c>
      <c r="C129" s="46" t="s">
        <v>1043</v>
      </c>
      <c r="D129" s="46" t="s">
        <v>1043</v>
      </c>
      <c r="I129" s="46" t="s">
        <v>1804</v>
      </c>
      <c r="J129" s="46" t="s">
        <v>1805</v>
      </c>
      <c r="K129" s="46" t="s">
        <v>1806</v>
      </c>
      <c r="L129" s="46" t="s">
        <v>1807</v>
      </c>
      <c r="M129" s="46" t="s">
        <v>1808</v>
      </c>
      <c r="N129" s="46" t="s">
        <v>1809</v>
      </c>
      <c r="O129" s="46" t="s">
        <v>1810</v>
      </c>
    </row>
    <row r="130" spans="2:15">
      <c r="B130" s="46" t="s">
        <v>249</v>
      </c>
      <c r="C130" s="46" t="s">
        <v>1043</v>
      </c>
      <c r="D130" s="46" t="s">
        <v>1043</v>
      </c>
      <c r="E130" s="46" t="s">
        <v>252</v>
      </c>
      <c r="F130" s="46" t="s">
        <v>1043</v>
      </c>
      <c r="G130" s="46" t="s">
        <v>1043</v>
      </c>
      <c r="H130" s="46" t="s">
        <v>1095</v>
      </c>
      <c r="I130" s="46" t="s">
        <v>1811</v>
      </c>
      <c r="J130" s="46" t="s">
        <v>1812</v>
      </c>
      <c r="K130" s="46" t="s">
        <v>1813</v>
      </c>
      <c r="L130" s="46" t="s">
        <v>1814</v>
      </c>
      <c r="M130" s="46" t="s">
        <v>1815</v>
      </c>
      <c r="N130" s="46" t="s">
        <v>1816</v>
      </c>
      <c r="O130" s="46" t="s">
        <v>1817</v>
      </c>
    </row>
    <row r="131" spans="2:15">
      <c r="B131" s="46" t="s">
        <v>249</v>
      </c>
      <c r="C131" s="46" t="s">
        <v>1043</v>
      </c>
      <c r="D131" s="46" t="s">
        <v>1043</v>
      </c>
      <c r="E131" s="46" t="s">
        <v>251</v>
      </c>
      <c r="F131" s="46" t="s">
        <v>1043</v>
      </c>
      <c r="G131" s="46" t="s">
        <v>1043</v>
      </c>
      <c r="H131" s="46" t="s">
        <v>1095</v>
      </c>
      <c r="I131" s="46" t="s">
        <v>1818</v>
      </c>
      <c r="J131" s="46" t="s">
        <v>1819</v>
      </c>
      <c r="K131" s="46" t="s">
        <v>1820</v>
      </c>
      <c r="L131" s="46" t="s">
        <v>1821</v>
      </c>
      <c r="M131" s="46" t="s">
        <v>1822</v>
      </c>
      <c r="N131" s="46" t="s">
        <v>1823</v>
      </c>
      <c r="O131" s="46" t="s">
        <v>1824</v>
      </c>
    </row>
    <row r="132" spans="2:15">
      <c r="B132" s="46" t="s">
        <v>249</v>
      </c>
      <c r="C132" s="46" t="s">
        <v>1043</v>
      </c>
      <c r="D132" s="46" t="s">
        <v>1043</v>
      </c>
      <c r="E132" s="46" t="s">
        <v>250</v>
      </c>
      <c r="F132" s="46" t="s">
        <v>1043</v>
      </c>
      <c r="G132" s="46" t="s">
        <v>1043</v>
      </c>
      <c r="H132" s="46" t="s">
        <v>1095</v>
      </c>
      <c r="I132" s="46" t="s">
        <v>1825</v>
      </c>
      <c r="J132" s="46" t="s">
        <v>1826</v>
      </c>
      <c r="K132" s="46" t="s">
        <v>1827</v>
      </c>
      <c r="L132" s="46" t="s">
        <v>1828</v>
      </c>
      <c r="M132" s="46" t="s">
        <v>1829</v>
      </c>
      <c r="N132" s="46" t="s">
        <v>1830</v>
      </c>
      <c r="O132" s="46" t="s">
        <v>1831</v>
      </c>
    </row>
    <row r="133" spans="2:15">
      <c r="B133" s="46" t="s">
        <v>249</v>
      </c>
      <c r="C133" s="46" t="s">
        <v>1043</v>
      </c>
      <c r="D133" s="46" t="s">
        <v>1043</v>
      </c>
      <c r="O133" s="46" t="s">
        <v>1838</v>
      </c>
    </row>
    <row r="134" spans="2:15">
      <c r="B134" s="46" t="s">
        <v>248</v>
      </c>
      <c r="C134" s="46" t="s">
        <v>1043</v>
      </c>
      <c r="D134" s="46" t="s">
        <v>1043</v>
      </c>
      <c r="I134" s="46" t="s">
        <v>1839</v>
      </c>
      <c r="J134" s="46" t="s">
        <v>1840</v>
      </c>
      <c r="K134" s="46" t="s">
        <v>1841</v>
      </c>
      <c r="L134" s="46" t="s">
        <v>1842</v>
      </c>
      <c r="M134" s="46" t="s">
        <v>1843</v>
      </c>
      <c r="N134" s="46" t="s">
        <v>1844</v>
      </c>
      <c r="O134" s="46" t="s">
        <v>1845</v>
      </c>
    </row>
    <row r="135" spans="2:15">
      <c r="B135" s="46" t="s">
        <v>247</v>
      </c>
      <c r="C135" s="46" t="s">
        <v>1043</v>
      </c>
      <c r="D135" s="46" t="s">
        <v>1043</v>
      </c>
      <c r="I135" s="46" t="s">
        <v>1846</v>
      </c>
      <c r="J135" s="46" t="s">
        <v>1847</v>
      </c>
      <c r="K135" s="46" t="s">
        <v>1848</v>
      </c>
      <c r="L135" s="46" t="s">
        <v>1849</v>
      </c>
      <c r="M135" s="46" t="s">
        <v>1850</v>
      </c>
      <c r="N135" s="46" t="s">
        <v>1851</v>
      </c>
      <c r="O135" s="46" t="s">
        <v>1852</v>
      </c>
    </row>
    <row r="136" spans="2:15">
      <c r="B136" s="46" t="s">
        <v>246</v>
      </c>
      <c r="C136" s="46" t="s">
        <v>1043</v>
      </c>
      <c r="D136" s="46" t="s">
        <v>1043</v>
      </c>
      <c r="I136" s="46" t="s">
        <v>1853</v>
      </c>
      <c r="J136" s="46" t="s">
        <v>1854</v>
      </c>
      <c r="K136" s="46" t="s">
        <v>1855</v>
      </c>
      <c r="L136" s="46" t="s">
        <v>1856</v>
      </c>
      <c r="M136" s="46" t="s">
        <v>1857</v>
      </c>
      <c r="N136" s="46" t="s">
        <v>1858</v>
      </c>
      <c r="O136" s="46" t="s">
        <v>1859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DB2C7C-4A18-43B4-9EC4-5EF0A9DDCAF7}">
  <dimension ref="A1:L233"/>
  <sheetViews>
    <sheetView workbookViewId="0"/>
  </sheetViews>
  <sheetFormatPr baseColWidth="10" defaultColWidth="9.140625" defaultRowHeight="15"/>
  <sheetData>
    <row r="1" spans="1:12">
      <c r="A1" s="46" t="s">
        <v>2370</v>
      </c>
      <c r="B1" s="46" t="s">
        <v>0</v>
      </c>
      <c r="C1" s="46" t="s">
        <v>0</v>
      </c>
      <c r="D1" s="46" t="s">
        <v>0</v>
      </c>
      <c r="E1" s="46" t="s">
        <v>0</v>
      </c>
      <c r="F1" s="46" t="s">
        <v>0</v>
      </c>
      <c r="G1" s="46" t="s">
        <v>0</v>
      </c>
      <c r="H1" s="46" t="s">
        <v>0</v>
      </c>
      <c r="I1" s="46" t="s">
        <v>0</v>
      </c>
      <c r="J1" s="46" t="s">
        <v>0</v>
      </c>
      <c r="K1" s="46" t="s">
        <v>0</v>
      </c>
      <c r="L1" s="46" t="s">
        <v>0</v>
      </c>
    </row>
    <row r="3" spans="1:12">
      <c r="B3" s="46" t="s">
        <v>603</v>
      </c>
    </row>
    <row r="5" spans="1:12">
      <c r="G5" s="46" t="s">
        <v>2</v>
      </c>
    </row>
    <row r="6" spans="1:12">
      <c r="B6" s="46" t="s">
        <v>3</v>
      </c>
      <c r="C6" s="46" t="s">
        <v>4</v>
      </c>
      <c r="D6" s="46" t="s">
        <v>1040</v>
      </c>
      <c r="E6" s="46" t="s">
        <v>602</v>
      </c>
      <c r="F6" s="46" t="s">
        <v>601</v>
      </c>
      <c r="G6" s="46" t="s">
        <v>7</v>
      </c>
      <c r="H6" s="46" t="s">
        <v>8</v>
      </c>
      <c r="I6" s="46" t="s">
        <v>9</v>
      </c>
      <c r="J6" s="46" t="s">
        <v>10</v>
      </c>
      <c r="K6" s="46" t="s">
        <v>11</v>
      </c>
      <c r="L6" s="46" t="s">
        <v>12</v>
      </c>
    </row>
    <row r="7" spans="1:12">
      <c r="B7" s="46" t="s">
        <v>496</v>
      </c>
      <c r="C7" s="46" t="s">
        <v>2371</v>
      </c>
      <c r="D7" s="46" t="s">
        <v>2372</v>
      </c>
      <c r="E7" s="46" t="s">
        <v>2373</v>
      </c>
      <c r="F7" s="46" t="s">
        <v>2374</v>
      </c>
      <c r="G7" s="46" t="s">
        <v>2375</v>
      </c>
      <c r="H7" s="46" t="s">
        <v>2376</v>
      </c>
      <c r="I7" s="46" t="s">
        <v>2377</v>
      </c>
      <c r="J7" s="46" t="s">
        <v>2378</v>
      </c>
      <c r="K7" s="46" t="s">
        <v>2379</v>
      </c>
      <c r="L7" s="46" t="s">
        <v>2380</v>
      </c>
    </row>
    <row r="8" spans="1:12">
      <c r="B8" s="46" t="s">
        <v>600</v>
      </c>
      <c r="C8" s="46" t="s">
        <v>2381</v>
      </c>
      <c r="D8" s="46" t="s">
        <v>2382</v>
      </c>
      <c r="E8" s="46" t="s">
        <v>2383</v>
      </c>
      <c r="F8" s="46" t="s">
        <v>2384</v>
      </c>
      <c r="G8" s="46" t="s">
        <v>2385</v>
      </c>
      <c r="H8" s="46" t="s">
        <v>2386</v>
      </c>
      <c r="I8" s="46" t="s">
        <v>2387</v>
      </c>
      <c r="J8" s="46" t="s">
        <v>2388</v>
      </c>
      <c r="K8" s="46" t="s">
        <v>2389</v>
      </c>
      <c r="L8" s="46" t="s">
        <v>2390</v>
      </c>
    </row>
    <row r="9" spans="1:12">
      <c r="B9" s="46" t="s">
        <v>599</v>
      </c>
      <c r="C9" s="46" t="s">
        <v>2391</v>
      </c>
      <c r="D9" s="46" t="s">
        <v>2392</v>
      </c>
      <c r="E9" s="46" t="s">
        <v>2393</v>
      </c>
      <c r="F9" s="46" t="s">
        <v>2394</v>
      </c>
      <c r="G9" s="46" t="s">
        <v>2395</v>
      </c>
      <c r="H9" s="46" t="s">
        <v>2396</v>
      </c>
      <c r="I9" s="46" t="s">
        <v>2397</v>
      </c>
      <c r="J9" s="46" t="s">
        <v>2398</v>
      </c>
      <c r="K9" s="46" t="s">
        <v>2399</v>
      </c>
      <c r="L9" s="46" t="s">
        <v>2400</v>
      </c>
    </row>
    <row r="10" spans="1:12">
      <c r="B10" s="46" t="s">
        <v>598</v>
      </c>
      <c r="C10" s="46" t="s">
        <v>2401</v>
      </c>
      <c r="D10" s="46" t="s">
        <v>2402</v>
      </c>
      <c r="E10" s="46" t="s">
        <v>2403</v>
      </c>
      <c r="F10" s="46" t="s">
        <v>2404</v>
      </c>
      <c r="G10" s="46" t="s">
        <v>2405</v>
      </c>
      <c r="H10" s="46" t="s">
        <v>2406</v>
      </c>
      <c r="I10" s="46" t="s">
        <v>2407</v>
      </c>
      <c r="J10" s="46" t="s">
        <v>2408</v>
      </c>
      <c r="K10" s="46" t="s">
        <v>2409</v>
      </c>
      <c r="L10" s="46" t="s">
        <v>2410</v>
      </c>
    </row>
    <row r="11" spans="1:12">
      <c r="B11" s="46" t="s">
        <v>597</v>
      </c>
      <c r="C11" s="46" t="s">
        <v>2411</v>
      </c>
      <c r="D11" s="46" t="s">
        <v>2412</v>
      </c>
      <c r="E11" s="46" t="s">
        <v>2413</v>
      </c>
      <c r="F11" s="46" t="s">
        <v>2414</v>
      </c>
      <c r="G11" s="46" t="s">
        <v>2415</v>
      </c>
      <c r="H11" s="46" t="s">
        <v>2416</v>
      </c>
      <c r="I11" s="46" t="s">
        <v>2417</v>
      </c>
      <c r="J11" s="46" t="s">
        <v>2418</v>
      </c>
      <c r="K11" s="46" t="s">
        <v>2419</v>
      </c>
      <c r="L11" s="46" t="s">
        <v>2420</v>
      </c>
    </row>
    <row r="12" spans="1:12">
      <c r="B12" s="46" t="s">
        <v>596</v>
      </c>
      <c r="C12" s="46" t="s">
        <v>2421</v>
      </c>
      <c r="D12" s="46" t="s">
        <v>2422</v>
      </c>
      <c r="E12" s="46" t="s">
        <v>2423</v>
      </c>
      <c r="F12" s="46" t="s">
        <v>2424</v>
      </c>
      <c r="G12" s="46" t="s">
        <v>2425</v>
      </c>
      <c r="H12" s="46" t="s">
        <v>2426</v>
      </c>
      <c r="I12" s="46" t="s">
        <v>2427</v>
      </c>
      <c r="J12" s="46" t="s">
        <v>2428</v>
      </c>
      <c r="K12" s="46" t="s">
        <v>2429</v>
      </c>
      <c r="L12" s="46" t="s">
        <v>2430</v>
      </c>
    </row>
    <row r="13" spans="1:12">
      <c r="B13" s="46" t="s">
        <v>595</v>
      </c>
      <c r="C13" s="46" t="s">
        <v>2431</v>
      </c>
      <c r="D13" s="46" t="s">
        <v>2432</v>
      </c>
      <c r="E13" s="46" t="s">
        <v>2433</v>
      </c>
      <c r="F13" s="46" t="s">
        <v>2434</v>
      </c>
      <c r="G13" s="46" t="s">
        <v>2435</v>
      </c>
      <c r="H13" s="46" t="s">
        <v>2436</v>
      </c>
      <c r="I13" s="46" t="s">
        <v>2437</v>
      </c>
      <c r="J13" s="46" t="s">
        <v>2438</v>
      </c>
      <c r="K13" s="46" t="s">
        <v>2439</v>
      </c>
      <c r="L13" s="46" t="s">
        <v>2440</v>
      </c>
    </row>
    <row r="14" spans="1:12">
      <c r="B14" s="46" t="s">
        <v>594</v>
      </c>
      <c r="C14" s="46" t="s">
        <v>2441</v>
      </c>
      <c r="D14" s="46" t="s">
        <v>2442</v>
      </c>
      <c r="E14" s="46" t="s">
        <v>2443</v>
      </c>
      <c r="F14" s="46" t="s">
        <v>2444</v>
      </c>
      <c r="G14" s="46" t="s">
        <v>2445</v>
      </c>
      <c r="H14" s="46" t="s">
        <v>2446</v>
      </c>
      <c r="I14" s="46" t="s">
        <v>2447</v>
      </c>
      <c r="J14" s="46" t="s">
        <v>2448</v>
      </c>
      <c r="K14" s="46" t="s">
        <v>2449</v>
      </c>
      <c r="L14" s="46" t="s">
        <v>2450</v>
      </c>
    </row>
    <row r="15" spans="1:12">
      <c r="B15" s="46" t="s">
        <v>593</v>
      </c>
      <c r="C15" s="46" t="s">
        <v>2451</v>
      </c>
      <c r="D15" s="46" t="s">
        <v>2452</v>
      </c>
      <c r="E15" s="46" t="s">
        <v>2453</v>
      </c>
      <c r="F15" s="46" t="s">
        <v>2454</v>
      </c>
      <c r="G15" s="46" t="s">
        <v>2455</v>
      </c>
      <c r="H15" s="46" t="s">
        <v>2456</v>
      </c>
      <c r="I15" s="46" t="s">
        <v>2457</v>
      </c>
      <c r="J15" s="46" t="s">
        <v>2458</v>
      </c>
      <c r="K15" s="46" t="s">
        <v>2459</v>
      </c>
      <c r="L15" s="46" t="s">
        <v>2460</v>
      </c>
    </row>
    <row r="16" spans="1:12">
      <c r="B16" s="46" t="s">
        <v>592</v>
      </c>
      <c r="C16" s="46" t="s">
        <v>2461</v>
      </c>
      <c r="D16" s="46" t="s">
        <v>2462</v>
      </c>
      <c r="E16" s="46" t="s">
        <v>2463</v>
      </c>
      <c r="F16" s="46" t="s">
        <v>2464</v>
      </c>
      <c r="G16" s="46" t="s">
        <v>2465</v>
      </c>
      <c r="H16" s="46" t="s">
        <v>2466</v>
      </c>
      <c r="I16" s="46" t="s">
        <v>2467</v>
      </c>
      <c r="J16" s="46" t="s">
        <v>2468</v>
      </c>
      <c r="K16" s="46" t="s">
        <v>2469</v>
      </c>
      <c r="L16" s="46" t="s">
        <v>2470</v>
      </c>
    </row>
    <row r="17" spans="2:12">
      <c r="B17" s="46" t="s">
        <v>591</v>
      </c>
      <c r="C17" s="46" t="s">
        <v>2471</v>
      </c>
      <c r="D17" s="46" t="s">
        <v>2472</v>
      </c>
      <c r="E17" s="46" t="s">
        <v>2473</v>
      </c>
      <c r="F17" s="46" t="s">
        <v>2474</v>
      </c>
      <c r="G17" s="46" t="s">
        <v>2475</v>
      </c>
      <c r="H17" s="46" t="s">
        <v>2476</v>
      </c>
      <c r="I17" s="46" t="s">
        <v>2477</v>
      </c>
      <c r="J17" s="46" t="s">
        <v>2478</v>
      </c>
      <c r="K17" s="46" t="s">
        <v>2479</v>
      </c>
      <c r="L17" s="46" t="s">
        <v>2480</v>
      </c>
    </row>
    <row r="18" spans="2:12">
      <c r="B18" s="46" t="s">
        <v>590</v>
      </c>
      <c r="C18" s="46" t="s">
        <v>2481</v>
      </c>
      <c r="D18" s="46" t="s">
        <v>2482</v>
      </c>
      <c r="E18" s="46" t="s">
        <v>2483</v>
      </c>
      <c r="F18" s="46" t="s">
        <v>2484</v>
      </c>
      <c r="G18" s="46" t="s">
        <v>2485</v>
      </c>
      <c r="H18" s="46" t="s">
        <v>2486</v>
      </c>
      <c r="I18" s="46" t="s">
        <v>2487</v>
      </c>
      <c r="J18" s="46" t="s">
        <v>2488</v>
      </c>
      <c r="K18" s="46" t="s">
        <v>2489</v>
      </c>
      <c r="L18" s="46" t="s">
        <v>2490</v>
      </c>
    </row>
    <row r="19" spans="2:12">
      <c r="B19" s="46" t="s">
        <v>589</v>
      </c>
      <c r="C19" s="46" t="s">
        <v>2491</v>
      </c>
      <c r="D19" s="46" t="s">
        <v>2492</v>
      </c>
      <c r="E19" s="46" t="s">
        <v>2493</v>
      </c>
      <c r="F19" s="46" t="s">
        <v>2494</v>
      </c>
      <c r="G19" s="46" t="s">
        <v>2495</v>
      </c>
      <c r="H19" s="46" t="s">
        <v>2496</v>
      </c>
      <c r="I19" s="46" t="s">
        <v>2497</v>
      </c>
      <c r="J19" s="46" t="s">
        <v>2498</v>
      </c>
      <c r="K19" s="46" t="s">
        <v>2499</v>
      </c>
      <c r="L19" s="46" t="s">
        <v>2500</v>
      </c>
    </row>
    <row r="20" spans="2:12">
      <c r="B20" s="46" t="s">
        <v>588</v>
      </c>
      <c r="C20" s="46" t="s">
        <v>2501</v>
      </c>
      <c r="D20" s="46" t="s">
        <v>2502</v>
      </c>
      <c r="E20" s="46" t="s">
        <v>2503</v>
      </c>
      <c r="F20" s="46" t="s">
        <v>2504</v>
      </c>
      <c r="G20" s="46" t="s">
        <v>2505</v>
      </c>
      <c r="H20" s="46" t="s">
        <v>2506</v>
      </c>
      <c r="I20" s="46" t="s">
        <v>2507</v>
      </c>
      <c r="J20" s="46" t="s">
        <v>2508</v>
      </c>
      <c r="K20" s="46" t="s">
        <v>2509</v>
      </c>
      <c r="L20" s="46" t="s">
        <v>2510</v>
      </c>
    </row>
    <row r="21" spans="2:12">
      <c r="B21" s="46" t="s">
        <v>587</v>
      </c>
      <c r="C21" s="46" t="s">
        <v>2511</v>
      </c>
      <c r="D21" s="46" t="s">
        <v>2512</v>
      </c>
      <c r="E21" s="46" t="s">
        <v>2513</v>
      </c>
      <c r="F21" s="46" t="s">
        <v>2514</v>
      </c>
      <c r="G21" s="46" t="s">
        <v>2515</v>
      </c>
      <c r="H21" s="46" t="s">
        <v>2516</v>
      </c>
      <c r="I21" s="46" t="s">
        <v>2517</v>
      </c>
      <c r="J21" s="46" t="s">
        <v>2518</v>
      </c>
      <c r="K21" s="46" t="s">
        <v>2519</v>
      </c>
      <c r="L21" s="46" t="s">
        <v>2520</v>
      </c>
    </row>
    <row r="22" spans="2:12">
      <c r="B22" s="46" t="s">
        <v>586</v>
      </c>
      <c r="C22" s="46" t="s">
        <v>2521</v>
      </c>
      <c r="D22" s="46" t="s">
        <v>2522</v>
      </c>
      <c r="E22" s="46" t="s">
        <v>2523</v>
      </c>
      <c r="F22" s="46" t="s">
        <v>2524</v>
      </c>
      <c r="G22" s="46" t="s">
        <v>2525</v>
      </c>
      <c r="H22" s="46" t="s">
        <v>2526</v>
      </c>
      <c r="I22" s="46" t="s">
        <v>2527</v>
      </c>
      <c r="J22" s="46" t="s">
        <v>2528</v>
      </c>
      <c r="K22" s="46" t="s">
        <v>2529</v>
      </c>
      <c r="L22" s="46" t="s">
        <v>2530</v>
      </c>
    </row>
    <row r="23" spans="2:12">
      <c r="B23" s="46" t="s">
        <v>585</v>
      </c>
      <c r="C23" s="46" t="s">
        <v>2531</v>
      </c>
      <c r="D23" s="46" t="s">
        <v>2532</v>
      </c>
      <c r="E23" s="46" t="s">
        <v>1095</v>
      </c>
      <c r="F23" s="46" t="s">
        <v>2533</v>
      </c>
      <c r="G23" s="46" t="s">
        <v>2534</v>
      </c>
      <c r="H23" s="46" t="s">
        <v>2535</v>
      </c>
      <c r="I23" s="46" t="s">
        <v>2536</v>
      </c>
      <c r="J23" s="46" t="s">
        <v>2537</v>
      </c>
      <c r="K23" s="46" t="s">
        <v>2538</v>
      </c>
      <c r="L23" s="46" t="s">
        <v>2539</v>
      </c>
    </row>
    <row r="24" spans="2:12">
      <c r="B24" s="46" t="s">
        <v>584</v>
      </c>
      <c r="C24" s="46" t="s">
        <v>2540</v>
      </c>
      <c r="D24" s="46" t="s">
        <v>2541</v>
      </c>
      <c r="E24" s="46" t="s">
        <v>1095</v>
      </c>
      <c r="F24" s="46" t="s">
        <v>2542</v>
      </c>
      <c r="G24" s="46" t="s">
        <v>2543</v>
      </c>
      <c r="H24" s="46" t="s">
        <v>2544</v>
      </c>
      <c r="I24" s="46" t="s">
        <v>2545</v>
      </c>
      <c r="J24" s="46" t="s">
        <v>2546</v>
      </c>
      <c r="K24" s="46" t="s">
        <v>2547</v>
      </c>
      <c r="L24" s="46" t="s">
        <v>2548</v>
      </c>
    </row>
    <row r="25" spans="2:12">
      <c r="B25" s="46" t="s">
        <v>583</v>
      </c>
      <c r="C25" s="46" t="s">
        <v>2549</v>
      </c>
      <c r="D25" s="46" t="s">
        <v>2550</v>
      </c>
      <c r="E25" s="46" t="s">
        <v>2551</v>
      </c>
      <c r="F25" s="46" t="s">
        <v>2552</v>
      </c>
      <c r="G25" s="46" t="s">
        <v>2553</v>
      </c>
      <c r="H25" s="46" t="s">
        <v>2554</v>
      </c>
      <c r="I25" s="46" t="s">
        <v>2555</v>
      </c>
      <c r="J25" s="46" t="s">
        <v>2556</v>
      </c>
      <c r="K25" s="46" t="s">
        <v>2557</v>
      </c>
      <c r="L25" s="46" t="s">
        <v>2558</v>
      </c>
    </row>
    <row r="26" spans="2:12">
      <c r="B26" s="46" t="s">
        <v>582</v>
      </c>
      <c r="C26" s="46" t="s">
        <v>2559</v>
      </c>
      <c r="D26" s="46" t="s">
        <v>2560</v>
      </c>
      <c r="E26" s="46" t="s">
        <v>2561</v>
      </c>
      <c r="F26" s="46" t="s">
        <v>2562</v>
      </c>
      <c r="G26" s="46" t="s">
        <v>2563</v>
      </c>
      <c r="H26" s="46" t="s">
        <v>2564</v>
      </c>
      <c r="I26" s="46" t="s">
        <v>2565</v>
      </c>
      <c r="J26" s="46" t="s">
        <v>2566</v>
      </c>
      <c r="K26" s="46" t="s">
        <v>2567</v>
      </c>
      <c r="L26" s="46" t="s">
        <v>2568</v>
      </c>
    </row>
    <row r="27" spans="2:12">
      <c r="B27" s="46" t="s">
        <v>581</v>
      </c>
      <c r="C27" s="46" t="s">
        <v>2569</v>
      </c>
      <c r="D27" s="46" t="s">
        <v>2570</v>
      </c>
      <c r="E27" s="46" t="s">
        <v>2571</v>
      </c>
      <c r="F27" s="46" t="s">
        <v>2572</v>
      </c>
      <c r="G27" s="46" t="s">
        <v>2573</v>
      </c>
      <c r="H27" s="46" t="s">
        <v>2574</v>
      </c>
      <c r="I27" s="46" t="s">
        <v>2575</v>
      </c>
      <c r="J27" s="46" t="s">
        <v>2576</v>
      </c>
      <c r="K27" s="46" t="s">
        <v>2577</v>
      </c>
      <c r="L27" s="46" t="s">
        <v>2578</v>
      </c>
    </row>
    <row r="28" spans="2:12">
      <c r="B28" s="46" t="s">
        <v>580</v>
      </c>
      <c r="C28" s="46" t="s">
        <v>2579</v>
      </c>
      <c r="D28" s="46" t="s">
        <v>2580</v>
      </c>
      <c r="E28" s="46" t="s">
        <v>2581</v>
      </c>
      <c r="F28" s="46" t="s">
        <v>2582</v>
      </c>
      <c r="G28" s="46" t="s">
        <v>2583</v>
      </c>
      <c r="H28" s="46" t="s">
        <v>2584</v>
      </c>
      <c r="I28" s="46" t="s">
        <v>2585</v>
      </c>
      <c r="J28" s="46" t="s">
        <v>2586</v>
      </c>
      <c r="K28" s="46" t="s">
        <v>2587</v>
      </c>
      <c r="L28" s="46" t="s">
        <v>2588</v>
      </c>
    </row>
    <row r="29" spans="2:12">
      <c r="B29" s="46" t="s">
        <v>579</v>
      </c>
      <c r="C29" s="46" t="s">
        <v>2589</v>
      </c>
      <c r="D29" s="46" t="s">
        <v>2590</v>
      </c>
      <c r="E29" s="46" t="s">
        <v>2591</v>
      </c>
      <c r="F29" s="46" t="s">
        <v>2592</v>
      </c>
      <c r="G29" s="46" t="s">
        <v>2593</v>
      </c>
      <c r="H29" s="46" t="s">
        <v>2594</v>
      </c>
      <c r="I29" s="46" t="s">
        <v>2595</v>
      </c>
      <c r="J29" s="46" t="s">
        <v>2596</v>
      </c>
      <c r="K29" s="46" t="s">
        <v>2597</v>
      </c>
      <c r="L29" s="46" t="s">
        <v>2598</v>
      </c>
    </row>
    <row r="30" spans="2:12">
      <c r="B30" s="46" t="s">
        <v>578</v>
      </c>
      <c r="C30" s="46" t="s">
        <v>2599</v>
      </c>
      <c r="D30" s="46" t="s">
        <v>2600</v>
      </c>
      <c r="E30" s="46" t="s">
        <v>2601</v>
      </c>
      <c r="F30" s="46" t="s">
        <v>2602</v>
      </c>
      <c r="G30" s="46" t="s">
        <v>2603</v>
      </c>
      <c r="H30" s="46" t="s">
        <v>2604</v>
      </c>
      <c r="I30" s="46" t="s">
        <v>2605</v>
      </c>
      <c r="J30" s="46" t="s">
        <v>2606</v>
      </c>
      <c r="K30" s="46" t="s">
        <v>2607</v>
      </c>
      <c r="L30" s="46" t="s">
        <v>2608</v>
      </c>
    </row>
    <row r="31" spans="2:12">
      <c r="B31" s="46" t="s">
        <v>577</v>
      </c>
      <c r="C31" s="46" t="s">
        <v>2609</v>
      </c>
      <c r="D31" s="46" t="s">
        <v>2610</v>
      </c>
      <c r="E31" s="46" t="s">
        <v>2611</v>
      </c>
      <c r="F31" s="46" t="s">
        <v>2612</v>
      </c>
      <c r="G31" s="46" t="s">
        <v>2613</v>
      </c>
      <c r="H31" s="46" t="s">
        <v>2614</v>
      </c>
      <c r="I31" s="46" t="s">
        <v>2615</v>
      </c>
      <c r="J31" s="46" t="s">
        <v>2616</v>
      </c>
      <c r="K31" s="46" t="s">
        <v>2617</v>
      </c>
      <c r="L31" s="46" t="s">
        <v>2618</v>
      </c>
    </row>
    <row r="32" spans="2:12">
      <c r="B32" s="46" t="s">
        <v>576</v>
      </c>
      <c r="C32" s="46" t="s">
        <v>2619</v>
      </c>
      <c r="D32" s="46" t="s">
        <v>2620</v>
      </c>
      <c r="E32" s="46" t="s">
        <v>2621</v>
      </c>
      <c r="F32" s="46" t="s">
        <v>2622</v>
      </c>
      <c r="G32" s="46" t="s">
        <v>2623</v>
      </c>
      <c r="H32" s="46" t="s">
        <v>2624</v>
      </c>
      <c r="I32" s="46" t="s">
        <v>2625</v>
      </c>
      <c r="J32" s="46" t="s">
        <v>2626</v>
      </c>
      <c r="K32" s="46" t="s">
        <v>2627</v>
      </c>
      <c r="L32" s="46" t="s">
        <v>2628</v>
      </c>
    </row>
    <row r="33" spans="2:12">
      <c r="B33" s="46" t="s">
        <v>575</v>
      </c>
      <c r="C33" s="46" t="s">
        <v>2629</v>
      </c>
      <c r="D33" s="46" t="s">
        <v>2630</v>
      </c>
      <c r="E33" s="46" t="s">
        <v>2631</v>
      </c>
      <c r="F33" s="46" t="s">
        <v>2632</v>
      </c>
      <c r="G33" s="46" t="s">
        <v>2633</v>
      </c>
      <c r="H33" s="46" t="s">
        <v>2634</v>
      </c>
      <c r="I33" s="46" t="s">
        <v>2635</v>
      </c>
      <c r="J33" s="46" t="s">
        <v>2636</v>
      </c>
      <c r="K33" s="46" t="s">
        <v>2637</v>
      </c>
      <c r="L33" s="46" t="s">
        <v>2638</v>
      </c>
    </row>
    <row r="34" spans="2:12">
      <c r="B34" s="46" t="s">
        <v>574</v>
      </c>
      <c r="C34" s="46" t="s">
        <v>2639</v>
      </c>
      <c r="D34" s="46" t="s">
        <v>2640</v>
      </c>
      <c r="E34" s="46" t="s">
        <v>2641</v>
      </c>
      <c r="F34" s="46" t="s">
        <v>2642</v>
      </c>
      <c r="G34" s="46" t="s">
        <v>2643</v>
      </c>
      <c r="H34" s="46" t="s">
        <v>2644</v>
      </c>
      <c r="I34" s="46" t="s">
        <v>2645</v>
      </c>
      <c r="J34" s="46" t="s">
        <v>2646</v>
      </c>
      <c r="K34" s="46" t="s">
        <v>2647</v>
      </c>
      <c r="L34" s="46" t="s">
        <v>2648</v>
      </c>
    </row>
    <row r="35" spans="2:12">
      <c r="B35" s="46" t="s">
        <v>573</v>
      </c>
      <c r="C35" s="46" t="s">
        <v>2649</v>
      </c>
      <c r="D35" s="46" t="s">
        <v>2650</v>
      </c>
      <c r="E35" s="46" t="s">
        <v>2651</v>
      </c>
      <c r="F35" s="46" t="s">
        <v>2652</v>
      </c>
      <c r="G35" s="46" t="s">
        <v>2653</v>
      </c>
      <c r="H35" s="46" t="s">
        <v>2654</v>
      </c>
      <c r="I35" s="46" t="s">
        <v>2655</v>
      </c>
      <c r="J35" s="46" t="s">
        <v>2656</v>
      </c>
      <c r="K35" s="46" t="s">
        <v>2657</v>
      </c>
      <c r="L35" s="46" t="s">
        <v>2658</v>
      </c>
    </row>
    <row r="36" spans="2:12">
      <c r="B36" s="46" t="s">
        <v>572</v>
      </c>
      <c r="C36" s="46" t="s">
        <v>2659</v>
      </c>
      <c r="D36" s="46" t="s">
        <v>2660</v>
      </c>
      <c r="E36" s="46" t="s">
        <v>2661</v>
      </c>
      <c r="F36" s="46" t="s">
        <v>2662</v>
      </c>
      <c r="G36" s="46" t="s">
        <v>2663</v>
      </c>
      <c r="H36" s="46" t="s">
        <v>2664</v>
      </c>
      <c r="I36" s="46" t="s">
        <v>2665</v>
      </c>
      <c r="J36" s="46" t="s">
        <v>2666</v>
      </c>
      <c r="K36" s="46" t="s">
        <v>2667</v>
      </c>
      <c r="L36" s="46" t="s">
        <v>2668</v>
      </c>
    </row>
    <row r="37" spans="2:12">
      <c r="B37" s="46" t="s">
        <v>571</v>
      </c>
      <c r="C37" s="46" t="s">
        <v>2669</v>
      </c>
      <c r="D37" s="46" t="s">
        <v>2670</v>
      </c>
      <c r="E37" s="46" t="s">
        <v>2671</v>
      </c>
      <c r="F37" s="46" t="s">
        <v>2672</v>
      </c>
      <c r="G37" s="46" t="s">
        <v>2673</v>
      </c>
      <c r="H37" s="46" t="s">
        <v>2674</v>
      </c>
      <c r="I37" s="46" t="s">
        <v>2675</v>
      </c>
      <c r="J37" s="46" t="s">
        <v>2676</v>
      </c>
      <c r="K37" s="46" t="s">
        <v>2677</v>
      </c>
      <c r="L37" s="46" t="s">
        <v>2678</v>
      </c>
    </row>
    <row r="38" spans="2:12">
      <c r="B38" s="46" t="s">
        <v>570</v>
      </c>
      <c r="C38" s="46" t="s">
        <v>2679</v>
      </c>
      <c r="D38" s="46" t="s">
        <v>2680</v>
      </c>
      <c r="E38" s="46" t="s">
        <v>2681</v>
      </c>
      <c r="F38" s="46" t="s">
        <v>2682</v>
      </c>
      <c r="G38" s="46" t="s">
        <v>2683</v>
      </c>
      <c r="H38" s="46" t="s">
        <v>2684</v>
      </c>
      <c r="I38" s="46" t="s">
        <v>2685</v>
      </c>
      <c r="J38" s="46" t="s">
        <v>2686</v>
      </c>
      <c r="K38" s="46" t="s">
        <v>2687</v>
      </c>
      <c r="L38" s="46" t="s">
        <v>2688</v>
      </c>
    </row>
    <row r="39" spans="2:12">
      <c r="B39" s="46" t="s">
        <v>569</v>
      </c>
      <c r="C39" s="46" t="s">
        <v>2689</v>
      </c>
      <c r="D39" s="46" t="s">
        <v>2690</v>
      </c>
      <c r="E39" s="46" t="s">
        <v>2691</v>
      </c>
      <c r="F39" s="46" t="s">
        <v>2692</v>
      </c>
      <c r="G39" s="46" t="s">
        <v>2693</v>
      </c>
      <c r="H39" s="46" t="s">
        <v>2694</v>
      </c>
      <c r="I39" s="46" t="s">
        <v>2695</v>
      </c>
      <c r="J39" s="46" t="s">
        <v>2696</v>
      </c>
      <c r="K39" s="46" t="s">
        <v>2697</v>
      </c>
      <c r="L39" s="46" t="s">
        <v>2698</v>
      </c>
    </row>
    <row r="40" spans="2:12">
      <c r="B40" s="46" t="s">
        <v>568</v>
      </c>
      <c r="C40" s="46" t="s">
        <v>2699</v>
      </c>
      <c r="D40" s="46" t="s">
        <v>2700</v>
      </c>
      <c r="E40" s="46" t="s">
        <v>2701</v>
      </c>
      <c r="F40" s="46" t="s">
        <v>2702</v>
      </c>
      <c r="G40" s="46" t="s">
        <v>2703</v>
      </c>
      <c r="H40" s="46" t="s">
        <v>2704</v>
      </c>
      <c r="I40" s="46" t="s">
        <v>2705</v>
      </c>
      <c r="J40" s="46" t="s">
        <v>2706</v>
      </c>
      <c r="K40" s="46" t="s">
        <v>2707</v>
      </c>
      <c r="L40" s="46" t="s">
        <v>2708</v>
      </c>
    </row>
    <row r="41" spans="2:12">
      <c r="B41" s="46" t="s">
        <v>567</v>
      </c>
      <c r="C41" s="46" t="s">
        <v>2709</v>
      </c>
      <c r="D41" s="46" t="s">
        <v>2710</v>
      </c>
      <c r="E41" s="46" t="s">
        <v>2711</v>
      </c>
      <c r="F41" s="46" t="s">
        <v>2712</v>
      </c>
      <c r="G41" s="46" t="s">
        <v>2713</v>
      </c>
      <c r="H41" s="46" t="s">
        <v>2714</v>
      </c>
      <c r="I41" s="46" t="s">
        <v>2715</v>
      </c>
      <c r="J41" s="46" t="s">
        <v>2716</v>
      </c>
      <c r="K41" s="46" t="s">
        <v>2717</v>
      </c>
      <c r="L41" s="46" t="s">
        <v>2718</v>
      </c>
    </row>
    <row r="42" spans="2:12">
      <c r="B42" s="46" t="s">
        <v>566</v>
      </c>
      <c r="C42" s="46" t="s">
        <v>2719</v>
      </c>
      <c r="D42" s="46" t="s">
        <v>2720</v>
      </c>
      <c r="E42" s="46" t="s">
        <v>2721</v>
      </c>
      <c r="F42" s="46" t="s">
        <v>2722</v>
      </c>
      <c r="G42" s="46" t="s">
        <v>2723</v>
      </c>
      <c r="H42" s="46" t="s">
        <v>2724</v>
      </c>
      <c r="I42" s="46" t="s">
        <v>2725</v>
      </c>
      <c r="J42" s="46" t="s">
        <v>2726</v>
      </c>
      <c r="K42" s="46" t="s">
        <v>2727</v>
      </c>
      <c r="L42" s="46" t="s">
        <v>2728</v>
      </c>
    </row>
    <row r="43" spans="2:12">
      <c r="B43" s="46" t="s">
        <v>565</v>
      </c>
      <c r="C43" s="46" t="s">
        <v>2729</v>
      </c>
      <c r="D43" s="46" t="s">
        <v>2730</v>
      </c>
      <c r="E43" s="46" t="s">
        <v>2731</v>
      </c>
      <c r="F43" s="46" t="s">
        <v>2732</v>
      </c>
      <c r="G43" s="46" t="s">
        <v>2733</v>
      </c>
      <c r="H43" s="46" t="s">
        <v>2734</v>
      </c>
      <c r="I43" s="46" t="s">
        <v>2735</v>
      </c>
      <c r="J43" s="46" t="s">
        <v>2736</v>
      </c>
      <c r="K43" s="46" t="s">
        <v>2737</v>
      </c>
      <c r="L43" s="46" t="s">
        <v>2738</v>
      </c>
    </row>
    <row r="44" spans="2:12">
      <c r="B44" s="46" t="s">
        <v>564</v>
      </c>
      <c r="C44" s="46" t="s">
        <v>2739</v>
      </c>
      <c r="D44" s="46" t="s">
        <v>2740</v>
      </c>
      <c r="E44" s="46" t="s">
        <v>2741</v>
      </c>
      <c r="F44" s="46" t="s">
        <v>2742</v>
      </c>
      <c r="G44" s="46" t="s">
        <v>2743</v>
      </c>
      <c r="H44" s="46" t="s">
        <v>2744</v>
      </c>
      <c r="I44" s="46" t="s">
        <v>2745</v>
      </c>
      <c r="J44" s="46" t="s">
        <v>2746</v>
      </c>
      <c r="K44" s="46" t="s">
        <v>2747</v>
      </c>
      <c r="L44" s="46" t="s">
        <v>2748</v>
      </c>
    </row>
    <row r="45" spans="2:12">
      <c r="B45" s="46" t="s">
        <v>563</v>
      </c>
      <c r="C45" s="46" t="s">
        <v>2749</v>
      </c>
      <c r="D45" s="46" t="s">
        <v>2750</v>
      </c>
      <c r="E45" s="46" t="s">
        <v>2751</v>
      </c>
      <c r="F45" s="46" t="s">
        <v>2752</v>
      </c>
      <c r="G45" s="46" t="s">
        <v>2753</v>
      </c>
      <c r="H45" s="46" t="s">
        <v>2754</v>
      </c>
      <c r="I45" s="46" t="s">
        <v>2755</v>
      </c>
      <c r="J45" s="46" t="s">
        <v>2756</v>
      </c>
      <c r="K45" s="46" t="s">
        <v>2757</v>
      </c>
      <c r="L45" s="46" t="s">
        <v>2758</v>
      </c>
    </row>
    <row r="46" spans="2:12">
      <c r="B46" s="46" t="s">
        <v>562</v>
      </c>
      <c r="C46" s="46" t="s">
        <v>2759</v>
      </c>
      <c r="D46" s="46" t="s">
        <v>2760</v>
      </c>
      <c r="E46" s="46" t="s">
        <v>2761</v>
      </c>
      <c r="F46" s="46" t="s">
        <v>2762</v>
      </c>
      <c r="G46" s="46" t="s">
        <v>2763</v>
      </c>
      <c r="H46" s="46" t="s">
        <v>2764</v>
      </c>
      <c r="I46" s="46" t="s">
        <v>2765</v>
      </c>
      <c r="J46" s="46" t="s">
        <v>2766</v>
      </c>
      <c r="K46" s="46" t="s">
        <v>2767</v>
      </c>
      <c r="L46" s="46" t="s">
        <v>2768</v>
      </c>
    </row>
    <row r="47" spans="2:12">
      <c r="B47" s="46" t="s">
        <v>561</v>
      </c>
      <c r="C47" s="46" t="s">
        <v>2769</v>
      </c>
      <c r="D47" s="46" t="s">
        <v>2770</v>
      </c>
      <c r="E47" s="46" t="s">
        <v>2771</v>
      </c>
      <c r="F47" s="46" t="s">
        <v>2772</v>
      </c>
      <c r="G47" s="46" t="s">
        <v>2773</v>
      </c>
      <c r="H47" s="46" t="s">
        <v>2774</v>
      </c>
      <c r="I47" s="46" t="s">
        <v>2775</v>
      </c>
      <c r="J47" s="46" t="s">
        <v>2776</v>
      </c>
      <c r="K47" s="46" t="s">
        <v>2777</v>
      </c>
      <c r="L47" s="46" t="s">
        <v>2778</v>
      </c>
    </row>
    <row r="48" spans="2:12">
      <c r="B48" s="46" t="s">
        <v>560</v>
      </c>
      <c r="C48" s="46" t="s">
        <v>2779</v>
      </c>
      <c r="D48" s="46" t="s">
        <v>2780</v>
      </c>
      <c r="E48" s="46" t="s">
        <v>2781</v>
      </c>
      <c r="F48" s="46" t="s">
        <v>2782</v>
      </c>
      <c r="G48" s="46" t="s">
        <v>2783</v>
      </c>
      <c r="H48" s="46" t="s">
        <v>2784</v>
      </c>
      <c r="I48" s="46" t="s">
        <v>2785</v>
      </c>
      <c r="J48" s="46" t="s">
        <v>2786</v>
      </c>
      <c r="K48" s="46" t="s">
        <v>2787</v>
      </c>
      <c r="L48" s="46" t="s">
        <v>2788</v>
      </c>
    </row>
    <row r="49" spans="2:12">
      <c r="B49" s="46" t="s">
        <v>559</v>
      </c>
      <c r="C49" s="46" t="s">
        <v>2789</v>
      </c>
      <c r="D49" s="46" t="s">
        <v>2790</v>
      </c>
      <c r="E49" s="46" t="s">
        <v>2791</v>
      </c>
      <c r="F49" s="46" t="s">
        <v>2792</v>
      </c>
      <c r="G49" s="46" t="s">
        <v>2793</v>
      </c>
      <c r="H49" s="46" t="s">
        <v>2794</v>
      </c>
      <c r="I49" s="46" t="s">
        <v>2795</v>
      </c>
      <c r="J49" s="46" t="s">
        <v>2796</v>
      </c>
      <c r="K49" s="46" t="s">
        <v>2797</v>
      </c>
      <c r="L49" s="46" t="s">
        <v>2798</v>
      </c>
    </row>
    <row r="50" spans="2:12">
      <c r="B50" s="46" t="s">
        <v>558</v>
      </c>
      <c r="C50" s="46" t="s">
        <v>2799</v>
      </c>
      <c r="D50" s="46" t="s">
        <v>2800</v>
      </c>
      <c r="E50" s="46" t="s">
        <v>2801</v>
      </c>
      <c r="F50" s="46" t="s">
        <v>2802</v>
      </c>
      <c r="G50" s="46" t="s">
        <v>2803</v>
      </c>
      <c r="H50" s="46" t="s">
        <v>2804</v>
      </c>
      <c r="I50" s="46" t="s">
        <v>2805</v>
      </c>
      <c r="J50" s="46" t="s">
        <v>2806</v>
      </c>
      <c r="K50" s="46" t="s">
        <v>2807</v>
      </c>
      <c r="L50" s="46" t="s">
        <v>2808</v>
      </c>
    </row>
    <row r="51" spans="2:12">
      <c r="B51" s="46" t="s">
        <v>557</v>
      </c>
      <c r="C51" s="46" t="s">
        <v>2809</v>
      </c>
      <c r="D51" s="46" t="s">
        <v>2810</v>
      </c>
      <c r="E51" s="46" t="s">
        <v>2811</v>
      </c>
      <c r="F51" s="46" t="s">
        <v>2812</v>
      </c>
      <c r="G51" s="46" t="s">
        <v>2813</v>
      </c>
      <c r="H51" s="46" t="s">
        <v>2814</v>
      </c>
      <c r="I51" s="46" t="s">
        <v>2815</v>
      </c>
      <c r="J51" s="46" t="s">
        <v>2816</v>
      </c>
      <c r="K51" s="46" t="s">
        <v>2817</v>
      </c>
      <c r="L51" s="46" t="s">
        <v>2818</v>
      </c>
    </row>
    <row r="52" spans="2:12">
      <c r="B52" s="46" t="s">
        <v>556</v>
      </c>
      <c r="C52" s="46" t="s">
        <v>2819</v>
      </c>
      <c r="D52" s="46" t="s">
        <v>2820</v>
      </c>
      <c r="E52" s="46" t="s">
        <v>2821</v>
      </c>
      <c r="F52" s="46" t="s">
        <v>2822</v>
      </c>
      <c r="G52" s="46" t="s">
        <v>2823</v>
      </c>
      <c r="H52" s="46" t="s">
        <v>2824</v>
      </c>
      <c r="I52" s="46" t="s">
        <v>2825</v>
      </c>
      <c r="J52" s="46" t="s">
        <v>2826</v>
      </c>
      <c r="K52" s="46" t="s">
        <v>2827</v>
      </c>
      <c r="L52" s="46" t="s">
        <v>2828</v>
      </c>
    </row>
    <row r="53" spans="2:12">
      <c r="B53" s="46" t="s">
        <v>555</v>
      </c>
      <c r="C53" s="46" t="s">
        <v>2829</v>
      </c>
      <c r="D53" s="46" t="s">
        <v>2830</v>
      </c>
      <c r="E53" s="46" t="s">
        <v>2831</v>
      </c>
      <c r="F53" s="46" t="s">
        <v>2832</v>
      </c>
      <c r="G53" s="46" t="s">
        <v>2833</v>
      </c>
      <c r="H53" s="46" t="s">
        <v>2834</v>
      </c>
      <c r="I53" s="46" t="s">
        <v>2835</v>
      </c>
      <c r="J53" s="46" t="s">
        <v>2836</v>
      </c>
      <c r="K53" s="46" t="s">
        <v>2837</v>
      </c>
      <c r="L53" s="46" t="s">
        <v>2838</v>
      </c>
    </row>
    <row r="54" spans="2:12">
      <c r="B54" s="46" t="s">
        <v>554</v>
      </c>
      <c r="C54" s="46" t="s">
        <v>2839</v>
      </c>
      <c r="D54" s="46" t="s">
        <v>2840</v>
      </c>
      <c r="E54" s="46" t="s">
        <v>2841</v>
      </c>
      <c r="F54" s="46" t="s">
        <v>2842</v>
      </c>
      <c r="G54" s="46" t="s">
        <v>2843</v>
      </c>
      <c r="H54" s="46" t="s">
        <v>2844</v>
      </c>
      <c r="I54" s="46" t="s">
        <v>2845</v>
      </c>
      <c r="J54" s="46" t="s">
        <v>2846</v>
      </c>
      <c r="K54" s="46" t="s">
        <v>2847</v>
      </c>
      <c r="L54" s="46" t="s">
        <v>2848</v>
      </c>
    </row>
    <row r="55" spans="2:12">
      <c r="B55" s="46" t="s">
        <v>553</v>
      </c>
      <c r="C55" s="46" t="s">
        <v>2849</v>
      </c>
      <c r="D55" s="46" t="s">
        <v>2850</v>
      </c>
      <c r="E55" s="46" t="s">
        <v>2851</v>
      </c>
      <c r="F55" s="46" t="s">
        <v>2852</v>
      </c>
      <c r="G55" s="46" t="s">
        <v>2853</v>
      </c>
      <c r="H55" s="46" t="s">
        <v>2854</v>
      </c>
      <c r="I55" s="46" t="s">
        <v>2855</v>
      </c>
      <c r="J55" s="46" t="s">
        <v>2856</v>
      </c>
      <c r="K55" s="46" t="s">
        <v>2857</v>
      </c>
      <c r="L55" s="46" t="s">
        <v>2858</v>
      </c>
    </row>
    <row r="56" spans="2:12">
      <c r="B56" s="46" t="s">
        <v>552</v>
      </c>
      <c r="C56" s="46" t="s">
        <v>2859</v>
      </c>
      <c r="D56" s="46" t="s">
        <v>2860</v>
      </c>
      <c r="E56" s="46" t="s">
        <v>2861</v>
      </c>
      <c r="F56" s="46" t="s">
        <v>2862</v>
      </c>
      <c r="G56" s="46" t="s">
        <v>2863</v>
      </c>
      <c r="H56" s="46" t="s">
        <v>2864</v>
      </c>
      <c r="I56" s="46" t="s">
        <v>2865</v>
      </c>
      <c r="J56" s="46" t="s">
        <v>2866</v>
      </c>
      <c r="K56" s="46" t="s">
        <v>2867</v>
      </c>
      <c r="L56" s="46" t="s">
        <v>2868</v>
      </c>
    </row>
    <row r="57" spans="2:12">
      <c r="B57" s="46" t="s">
        <v>551</v>
      </c>
      <c r="C57" s="46" t="s">
        <v>2869</v>
      </c>
      <c r="D57" s="46" t="s">
        <v>2870</v>
      </c>
      <c r="E57" s="46" t="s">
        <v>2871</v>
      </c>
      <c r="F57" s="46" t="s">
        <v>2872</v>
      </c>
      <c r="G57" s="46" t="s">
        <v>2873</v>
      </c>
      <c r="H57" s="46" t="s">
        <v>2874</v>
      </c>
      <c r="I57" s="46" t="s">
        <v>2875</v>
      </c>
      <c r="J57" s="46" t="s">
        <v>2876</v>
      </c>
      <c r="K57" s="46" t="s">
        <v>2877</v>
      </c>
      <c r="L57" s="46" t="s">
        <v>2878</v>
      </c>
    </row>
    <row r="58" spans="2:12">
      <c r="B58" s="46" t="s">
        <v>550</v>
      </c>
      <c r="C58" s="46" t="s">
        <v>2879</v>
      </c>
      <c r="D58" s="46" t="s">
        <v>2880</v>
      </c>
      <c r="E58" s="46" t="s">
        <v>2881</v>
      </c>
      <c r="F58" s="46" t="s">
        <v>2882</v>
      </c>
      <c r="G58" s="46" t="s">
        <v>2883</v>
      </c>
      <c r="H58" s="46" t="s">
        <v>2884</v>
      </c>
      <c r="I58" s="46" t="s">
        <v>2885</v>
      </c>
      <c r="J58" s="46" t="s">
        <v>2886</v>
      </c>
      <c r="K58" s="46" t="s">
        <v>2887</v>
      </c>
      <c r="L58" s="46" t="s">
        <v>2888</v>
      </c>
    </row>
    <row r="59" spans="2:12">
      <c r="B59" s="46" t="s">
        <v>549</v>
      </c>
      <c r="C59" s="46" t="s">
        <v>2889</v>
      </c>
      <c r="D59" s="46" t="s">
        <v>2890</v>
      </c>
      <c r="E59" s="46" t="s">
        <v>2891</v>
      </c>
      <c r="F59" s="46" t="s">
        <v>2892</v>
      </c>
      <c r="G59" s="46" t="s">
        <v>2893</v>
      </c>
      <c r="H59" s="46" t="s">
        <v>2894</v>
      </c>
      <c r="I59" s="46" t="s">
        <v>2895</v>
      </c>
      <c r="J59" s="46" t="s">
        <v>2896</v>
      </c>
      <c r="K59" s="46" t="s">
        <v>2897</v>
      </c>
      <c r="L59" s="46" t="s">
        <v>2898</v>
      </c>
    </row>
    <row r="60" spans="2:12">
      <c r="B60" s="46" t="s">
        <v>548</v>
      </c>
      <c r="C60" s="46" t="s">
        <v>2899</v>
      </c>
      <c r="D60" s="46" t="s">
        <v>2900</v>
      </c>
      <c r="E60" s="46" t="s">
        <v>1095</v>
      </c>
      <c r="F60" s="46" t="s">
        <v>2901</v>
      </c>
      <c r="G60" s="46" t="s">
        <v>2902</v>
      </c>
      <c r="H60" s="46" t="s">
        <v>2903</v>
      </c>
      <c r="I60" s="46" t="s">
        <v>2904</v>
      </c>
      <c r="J60" s="46" t="s">
        <v>2905</v>
      </c>
      <c r="K60" s="46" t="s">
        <v>2906</v>
      </c>
      <c r="L60" s="46" t="s">
        <v>2907</v>
      </c>
    </row>
    <row r="61" spans="2:12">
      <c r="B61" s="46" t="s">
        <v>547</v>
      </c>
      <c r="C61" s="46" t="s">
        <v>2908</v>
      </c>
      <c r="D61" s="46" t="s">
        <v>2909</v>
      </c>
      <c r="E61" s="46" t="s">
        <v>2910</v>
      </c>
      <c r="F61" s="46" t="s">
        <v>2911</v>
      </c>
      <c r="G61" s="46" t="s">
        <v>2912</v>
      </c>
      <c r="H61" s="46" t="s">
        <v>2913</v>
      </c>
      <c r="I61" s="46" t="s">
        <v>2914</v>
      </c>
      <c r="J61" s="46" t="s">
        <v>2915</v>
      </c>
      <c r="K61" s="46" t="s">
        <v>2916</v>
      </c>
      <c r="L61" s="46" t="s">
        <v>2917</v>
      </c>
    </row>
    <row r="62" spans="2:12">
      <c r="B62" s="46" t="s">
        <v>546</v>
      </c>
      <c r="C62" s="46" t="s">
        <v>2918</v>
      </c>
      <c r="D62" s="46" t="s">
        <v>2919</v>
      </c>
      <c r="E62" s="46" t="s">
        <v>1095</v>
      </c>
      <c r="F62" s="46" t="s">
        <v>2920</v>
      </c>
      <c r="G62" s="46" t="s">
        <v>2921</v>
      </c>
      <c r="H62" s="46" t="s">
        <v>2922</v>
      </c>
      <c r="I62" s="46" t="s">
        <v>2923</v>
      </c>
      <c r="J62" s="46" t="s">
        <v>2924</v>
      </c>
      <c r="K62" s="46" t="s">
        <v>2925</v>
      </c>
      <c r="L62" s="46" t="s">
        <v>2926</v>
      </c>
    </row>
    <row r="63" spans="2:12">
      <c r="B63" s="46" t="s">
        <v>545</v>
      </c>
      <c r="C63" s="46" t="s">
        <v>2927</v>
      </c>
      <c r="D63" s="46" t="s">
        <v>2928</v>
      </c>
      <c r="E63" s="46" t="s">
        <v>2929</v>
      </c>
      <c r="F63" s="46" t="s">
        <v>2930</v>
      </c>
      <c r="G63" s="46" t="s">
        <v>2931</v>
      </c>
      <c r="H63" s="46" t="s">
        <v>2932</v>
      </c>
      <c r="I63" s="46" t="s">
        <v>2933</v>
      </c>
      <c r="J63" s="46" t="s">
        <v>2934</v>
      </c>
      <c r="K63" s="46" t="s">
        <v>2935</v>
      </c>
      <c r="L63" s="46" t="s">
        <v>2936</v>
      </c>
    </row>
    <row r="64" spans="2:12">
      <c r="B64" s="46" t="s">
        <v>544</v>
      </c>
      <c r="C64" s="46" t="s">
        <v>2937</v>
      </c>
      <c r="D64" s="46" t="s">
        <v>2938</v>
      </c>
      <c r="E64" s="46" t="s">
        <v>2939</v>
      </c>
      <c r="F64" s="46" t="s">
        <v>2940</v>
      </c>
      <c r="G64" s="46" t="s">
        <v>2941</v>
      </c>
      <c r="H64" s="46" t="s">
        <v>2942</v>
      </c>
      <c r="I64" s="46" t="s">
        <v>2943</v>
      </c>
      <c r="J64" s="46" t="s">
        <v>2944</v>
      </c>
      <c r="K64" s="46" t="s">
        <v>2945</v>
      </c>
      <c r="L64" s="46" t="s">
        <v>2946</v>
      </c>
    </row>
    <row r="65" spans="2:12">
      <c r="B65" s="46" t="s">
        <v>543</v>
      </c>
      <c r="C65" s="46" t="s">
        <v>2947</v>
      </c>
      <c r="D65" s="46" t="s">
        <v>2948</v>
      </c>
      <c r="E65" s="46" t="s">
        <v>2949</v>
      </c>
      <c r="F65" s="46" t="s">
        <v>2950</v>
      </c>
      <c r="G65" s="46" t="s">
        <v>2951</v>
      </c>
      <c r="H65" s="46" t="s">
        <v>2952</v>
      </c>
      <c r="I65" s="46" t="s">
        <v>2953</v>
      </c>
      <c r="J65" s="46" t="s">
        <v>2954</v>
      </c>
      <c r="K65" s="46" t="s">
        <v>2955</v>
      </c>
      <c r="L65" s="46" t="s">
        <v>2956</v>
      </c>
    </row>
    <row r="66" spans="2:12">
      <c r="B66" s="46" t="s">
        <v>542</v>
      </c>
      <c r="C66" s="46" t="s">
        <v>2957</v>
      </c>
      <c r="D66" s="46" t="s">
        <v>2958</v>
      </c>
      <c r="E66" s="46" t="s">
        <v>2959</v>
      </c>
      <c r="F66" s="46" t="s">
        <v>2960</v>
      </c>
      <c r="G66" s="46" t="s">
        <v>2961</v>
      </c>
      <c r="H66" s="46" t="s">
        <v>2962</v>
      </c>
      <c r="I66" s="46" t="s">
        <v>2963</v>
      </c>
      <c r="J66" s="46" t="s">
        <v>2964</v>
      </c>
      <c r="K66" s="46" t="s">
        <v>2965</v>
      </c>
      <c r="L66" s="46" t="s">
        <v>2966</v>
      </c>
    </row>
    <row r="67" spans="2:12">
      <c r="B67" s="46" t="s">
        <v>541</v>
      </c>
      <c r="C67" s="46" t="s">
        <v>2967</v>
      </c>
      <c r="D67" s="46" t="s">
        <v>2968</v>
      </c>
      <c r="E67" s="46" t="s">
        <v>2969</v>
      </c>
      <c r="F67" s="46" t="s">
        <v>2970</v>
      </c>
      <c r="G67" s="46" t="s">
        <v>2971</v>
      </c>
      <c r="H67" s="46" t="s">
        <v>2972</v>
      </c>
      <c r="I67" s="46" t="s">
        <v>2973</v>
      </c>
      <c r="J67" s="46" t="s">
        <v>2974</v>
      </c>
      <c r="K67" s="46" t="s">
        <v>2975</v>
      </c>
      <c r="L67" s="46" t="s">
        <v>2976</v>
      </c>
    </row>
    <row r="68" spans="2:12">
      <c r="B68" s="46" t="s">
        <v>540</v>
      </c>
      <c r="C68" s="46" t="s">
        <v>2977</v>
      </c>
      <c r="D68" s="46" t="s">
        <v>2978</v>
      </c>
      <c r="E68" s="46" t="s">
        <v>2979</v>
      </c>
      <c r="F68" s="46" t="s">
        <v>2980</v>
      </c>
      <c r="G68" s="46" t="s">
        <v>2981</v>
      </c>
      <c r="H68" s="46" t="s">
        <v>2982</v>
      </c>
      <c r="I68" s="46" t="s">
        <v>2983</v>
      </c>
      <c r="J68" s="46" t="s">
        <v>2984</v>
      </c>
      <c r="K68" s="46" t="s">
        <v>2985</v>
      </c>
      <c r="L68" s="46" t="s">
        <v>2986</v>
      </c>
    </row>
    <row r="69" spans="2:12">
      <c r="B69" s="46" t="s">
        <v>539</v>
      </c>
      <c r="C69" s="46" t="s">
        <v>2987</v>
      </c>
      <c r="D69" s="46" t="s">
        <v>2988</v>
      </c>
      <c r="E69" s="46" t="s">
        <v>2989</v>
      </c>
      <c r="F69" s="46" t="s">
        <v>2990</v>
      </c>
      <c r="G69" s="46" t="s">
        <v>2991</v>
      </c>
      <c r="H69" s="46" t="s">
        <v>2992</v>
      </c>
      <c r="I69" s="46" t="s">
        <v>2993</v>
      </c>
      <c r="J69" s="46" t="s">
        <v>2994</v>
      </c>
      <c r="K69" s="46" t="s">
        <v>2995</v>
      </c>
      <c r="L69" s="46" t="s">
        <v>2996</v>
      </c>
    </row>
    <row r="70" spans="2:12">
      <c r="B70" s="46" t="s">
        <v>538</v>
      </c>
      <c r="C70" s="46" t="s">
        <v>2997</v>
      </c>
      <c r="D70" s="46" t="s">
        <v>2998</v>
      </c>
      <c r="E70" s="46" t="s">
        <v>2999</v>
      </c>
      <c r="F70" s="46" t="s">
        <v>3000</v>
      </c>
      <c r="G70" s="46" t="s">
        <v>3001</v>
      </c>
      <c r="H70" s="46" t="s">
        <v>3002</v>
      </c>
      <c r="I70" s="46" t="s">
        <v>3003</v>
      </c>
      <c r="J70" s="46" t="s">
        <v>3004</v>
      </c>
      <c r="K70" s="46" t="s">
        <v>3005</v>
      </c>
      <c r="L70" s="46" t="s">
        <v>3006</v>
      </c>
    </row>
    <row r="71" spans="2:12">
      <c r="B71" s="46" t="s">
        <v>537</v>
      </c>
      <c r="C71" s="46" t="s">
        <v>3007</v>
      </c>
      <c r="D71" s="46" t="s">
        <v>3008</v>
      </c>
      <c r="E71" s="46" t="s">
        <v>3009</v>
      </c>
      <c r="F71" s="46" t="s">
        <v>3010</v>
      </c>
      <c r="G71" s="46" t="s">
        <v>3011</v>
      </c>
      <c r="H71" s="46" t="s">
        <v>3012</v>
      </c>
      <c r="I71" s="46" t="s">
        <v>3013</v>
      </c>
      <c r="J71" s="46" t="s">
        <v>3014</v>
      </c>
      <c r="K71" s="46" t="s">
        <v>3015</v>
      </c>
      <c r="L71" s="46" t="s">
        <v>3016</v>
      </c>
    </row>
    <row r="72" spans="2:12">
      <c r="B72" s="46" t="s">
        <v>536</v>
      </c>
      <c r="C72" s="46" t="s">
        <v>3017</v>
      </c>
      <c r="D72" s="46" t="s">
        <v>3018</v>
      </c>
      <c r="E72" s="46" t="s">
        <v>3019</v>
      </c>
      <c r="F72" s="46" t="s">
        <v>3020</v>
      </c>
      <c r="G72" s="46" t="s">
        <v>3021</v>
      </c>
      <c r="H72" s="46" t="s">
        <v>3022</v>
      </c>
      <c r="I72" s="46" t="s">
        <v>3023</v>
      </c>
      <c r="J72" s="46" t="s">
        <v>3024</v>
      </c>
      <c r="K72" s="46" t="s">
        <v>3025</v>
      </c>
      <c r="L72" s="46" t="s">
        <v>3026</v>
      </c>
    </row>
    <row r="73" spans="2:12">
      <c r="B73" s="46" t="s">
        <v>535</v>
      </c>
      <c r="C73" s="46" t="s">
        <v>3027</v>
      </c>
      <c r="D73" s="46" t="s">
        <v>3028</v>
      </c>
      <c r="E73" s="46" t="s">
        <v>3029</v>
      </c>
      <c r="F73" s="46" t="s">
        <v>3030</v>
      </c>
      <c r="G73" s="46" t="s">
        <v>3031</v>
      </c>
      <c r="H73" s="46" t="s">
        <v>3032</v>
      </c>
      <c r="I73" s="46" t="s">
        <v>3033</v>
      </c>
      <c r="J73" s="46" t="s">
        <v>3034</v>
      </c>
      <c r="K73" s="46" t="s">
        <v>3035</v>
      </c>
      <c r="L73" s="46" t="s">
        <v>3036</v>
      </c>
    </row>
    <row r="74" spans="2:12">
      <c r="B74" s="46" t="s">
        <v>534</v>
      </c>
      <c r="C74" s="46" t="s">
        <v>3037</v>
      </c>
      <c r="D74" s="46" t="s">
        <v>3038</v>
      </c>
      <c r="E74" s="46" t="s">
        <v>3039</v>
      </c>
      <c r="F74" s="46" t="s">
        <v>3040</v>
      </c>
      <c r="G74" s="46" t="s">
        <v>3041</v>
      </c>
      <c r="H74" s="46" t="s">
        <v>3042</v>
      </c>
      <c r="I74" s="46" t="s">
        <v>3043</v>
      </c>
      <c r="J74" s="46" t="s">
        <v>3044</v>
      </c>
      <c r="K74" s="46" t="s">
        <v>3045</v>
      </c>
      <c r="L74" s="46" t="s">
        <v>3046</v>
      </c>
    </row>
    <row r="75" spans="2:12">
      <c r="B75" s="46" t="s">
        <v>533</v>
      </c>
      <c r="C75" s="46" t="s">
        <v>3047</v>
      </c>
      <c r="D75" s="46" t="s">
        <v>3048</v>
      </c>
      <c r="E75" s="46" t="s">
        <v>3049</v>
      </c>
      <c r="F75" s="46" t="s">
        <v>3050</v>
      </c>
      <c r="G75" s="46" t="s">
        <v>3051</v>
      </c>
      <c r="H75" s="46" t="s">
        <v>3052</v>
      </c>
      <c r="I75" s="46" t="s">
        <v>3053</v>
      </c>
      <c r="J75" s="46" t="s">
        <v>3054</v>
      </c>
      <c r="K75" s="46" t="s">
        <v>3055</v>
      </c>
      <c r="L75" s="46" t="s">
        <v>3056</v>
      </c>
    </row>
    <row r="76" spans="2:12">
      <c r="B76" s="46" t="s">
        <v>532</v>
      </c>
      <c r="C76" s="46" t="s">
        <v>3057</v>
      </c>
      <c r="D76" s="46" t="s">
        <v>3058</v>
      </c>
      <c r="E76" s="46" t="s">
        <v>3059</v>
      </c>
      <c r="F76" s="46" t="s">
        <v>3060</v>
      </c>
      <c r="G76" s="46" t="s">
        <v>3061</v>
      </c>
      <c r="H76" s="46" t="s">
        <v>3062</v>
      </c>
      <c r="I76" s="46" t="s">
        <v>3063</v>
      </c>
      <c r="J76" s="46" t="s">
        <v>3064</v>
      </c>
      <c r="K76" s="46" t="s">
        <v>3065</v>
      </c>
      <c r="L76" s="46" t="s">
        <v>3066</v>
      </c>
    </row>
    <row r="77" spans="2:12">
      <c r="B77" s="46" t="s">
        <v>531</v>
      </c>
      <c r="C77" s="46" t="s">
        <v>3067</v>
      </c>
      <c r="D77" s="46" t="s">
        <v>3068</v>
      </c>
      <c r="E77" s="46" t="s">
        <v>3069</v>
      </c>
      <c r="F77" s="46" t="s">
        <v>3070</v>
      </c>
      <c r="G77" s="46" t="s">
        <v>3071</v>
      </c>
      <c r="H77" s="46" t="s">
        <v>3072</v>
      </c>
      <c r="I77" s="46" t="s">
        <v>3073</v>
      </c>
      <c r="J77" s="46" t="s">
        <v>3074</v>
      </c>
      <c r="K77" s="46" t="s">
        <v>3075</v>
      </c>
      <c r="L77" s="46" t="s">
        <v>3076</v>
      </c>
    </row>
    <row r="78" spans="2:12">
      <c r="B78" s="46" t="s">
        <v>530</v>
      </c>
      <c r="C78" s="46" t="s">
        <v>3077</v>
      </c>
      <c r="D78" s="46" t="s">
        <v>3078</v>
      </c>
      <c r="E78" s="46" t="s">
        <v>3079</v>
      </c>
      <c r="F78" s="46" t="s">
        <v>3080</v>
      </c>
      <c r="G78" s="46" t="s">
        <v>3081</v>
      </c>
      <c r="H78" s="46" t="s">
        <v>3082</v>
      </c>
      <c r="I78" s="46" t="s">
        <v>3083</v>
      </c>
      <c r="J78" s="46" t="s">
        <v>3084</v>
      </c>
      <c r="K78" s="46" t="s">
        <v>3085</v>
      </c>
      <c r="L78" s="46" t="s">
        <v>3086</v>
      </c>
    </row>
    <row r="79" spans="2:12">
      <c r="B79" s="46" t="s">
        <v>529</v>
      </c>
      <c r="C79" s="46" t="s">
        <v>3087</v>
      </c>
      <c r="D79" s="46" t="s">
        <v>3088</v>
      </c>
      <c r="E79" s="46" t="s">
        <v>3089</v>
      </c>
      <c r="F79" s="46" t="s">
        <v>3090</v>
      </c>
      <c r="G79" s="46" t="s">
        <v>3091</v>
      </c>
      <c r="H79" s="46" t="s">
        <v>3092</v>
      </c>
      <c r="I79" s="46" t="s">
        <v>3093</v>
      </c>
      <c r="J79" s="46" t="s">
        <v>3094</v>
      </c>
      <c r="K79" s="46" t="s">
        <v>3095</v>
      </c>
      <c r="L79" s="46" t="s">
        <v>3096</v>
      </c>
    </row>
    <row r="80" spans="2:12">
      <c r="B80" s="46" t="s">
        <v>528</v>
      </c>
      <c r="C80" s="46" t="s">
        <v>3097</v>
      </c>
      <c r="D80" s="46" t="s">
        <v>3098</v>
      </c>
      <c r="E80" s="46" t="s">
        <v>3099</v>
      </c>
      <c r="F80" s="46" t="s">
        <v>3100</v>
      </c>
      <c r="G80" s="46" t="s">
        <v>3101</v>
      </c>
      <c r="H80" s="46" t="s">
        <v>3102</v>
      </c>
      <c r="I80" s="46" t="s">
        <v>3103</v>
      </c>
      <c r="J80" s="46" t="s">
        <v>3104</v>
      </c>
      <c r="K80" s="46" t="s">
        <v>3105</v>
      </c>
      <c r="L80" s="46" t="s">
        <v>3106</v>
      </c>
    </row>
    <row r="81" spans="2:12">
      <c r="B81" s="46" t="s">
        <v>527</v>
      </c>
      <c r="C81" s="46" t="s">
        <v>3107</v>
      </c>
      <c r="D81" s="46" t="s">
        <v>3108</v>
      </c>
      <c r="E81" s="46" t="s">
        <v>3109</v>
      </c>
      <c r="F81" s="46" t="s">
        <v>3110</v>
      </c>
      <c r="G81" s="46" t="s">
        <v>3111</v>
      </c>
      <c r="H81" s="46" t="s">
        <v>3112</v>
      </c>
      <c r="I81" s="46" t="s">
        <v>3113</v>
      </c>
      <c r="J81" s="46" t="s">
        <v>3114</v>
      </c>
      <c r="K81" s="46" t="s">
        <v>3115</v>
      </c>
      <c r="L81" s="46" t="s">
        <v>3116</v>
      </c>
    </row>
    <row r="82" spans="2:12">
      <c r="B82" s="46" t="s">
        <v>526</v>
      </c>
      <c r="C82" s="46" t="s">
        <v>3117</v>
      </c>
      <c r="D82" s="46" t="s">
        <v>3118</v>
      </c>
      <c r="E82" s="46" t="s">
        <v>3119</v>
      </c>
      <c r="F82" s="46" t="s">
        <v>3120</v>
      </c>
      <c r="G82" s="46" t="s">
        <v>3121</v>
      </c>
      <c r="H82" s="46" t="s">
        <v>3122</v>
      </c>
      <c r="I82" s="46" t="s">
        <v>3123</v>
      </c>
      <c r="J82" s="46" t="s">
        <v>3124</v>
      </c>
      <c r="K82" s="46" t="s">
        <v>3125</v>
      </c>
      <c r="L82" s="46" t="s">
        <v>3126</v>
      </c>
    </row>
    <row r="83" spans="2:12">
      <c r="B83" s="46" t="s">
        <v>525</v>
      </c>
      <c r="C83" s="46" t="s">
        <v>3127</v>
      </c>
      <c r="D83" s="46" t="s">
        <v>3128</v>
      </c>
      <c r="E83" s="46" t="s">
        <v>3129</v>
      </c>
      <c r="F83" s="46" t="s">
        <v>3130</v>
      </c>
      <c r="G83" s="46" t="s">
        <v>3131</v>
      </c>
      <c r="H83" s="46" t="s">
        <v>3132</v>
      </c>
      <c r="I83" s="46" t="s">
        <v>3133</v>
      </c>
      <c r="J83" s="46" t="s">
        <v>3134</v>
      </c>
      <c r="K83" s="46" t="s">
        <v>3135</v>
      </c>
      <c r="L83" s="46" t="s">
        <v>3136</v>
      </c>
    </row>
    <row r="84" spans="2:12">
      <c r="B84" s="46" t="s">
        <v>524</v>
      </c>
      <c r="C84" s="46" t="s">
        <v>3137</v>
      </c>
      <c r="D84" s="46" t="s">
        <v>3138</v>
      </c>
      <c r="E84" s="46" t="s">
        <v>3139</v>
      </c>
      <c r="F84" s="46" t="s">
        <v>3140</v>
      </c>
      <c r="G84" s="46" t="s">
        <v>3141</v>
      </c>
      <c r="H84" s="46" t="s">
        <v>3142</v>
      </c>
      <c r="I84" s="46" t="s">
        <v>3143</v>
      </c>
      <c r="J84" s="46" t="s">
        <v>3144</v>
      </c>
      <c r="K84" s="46" t="s">
        <v>3145</v>
      </c>
      <c r="L84" s="46" t="s">
        <v>3146</v>
      </c>
    </row>
    <row r="85" spans="2:12">
      <c r="B85" s="46" t="s">
        <v>523</v>
      </c>
      <c r="C85" s="46" t="s">
        <v>3147</v>
      </c>
      <c r="D85" s="46" t="s">
        <v>3148</v>
      </c>
      <c r="E85" s="46" t="s">
        <v>3149</v>
      </c>
      <c r="F85" s="46" t="s">
        <v>3150</v>
      </c>
      <c r="G85" s="46" t="s">
        <v>3151</v>
      </c>
      <c r="H85" s="46" t="s">
        <v>3152</v>
      </c>
      <c r="I85" s="46" t="s">
        <v>3153</v>
      </c>
      <c r="J85" s="46" t="s">
        <v>3154</v>
      </c>
      <c r="K85" s="46" t="s">
        <v>3155</v>
      </c>
      <c r="L85" s="46" t="s">
        <v>3156</v>
      </c>
    </row>
    <row r="86" spans="2:12">
      <c r="B86" s="46" t="s">
        <v>522</v>
      </c>
      <c r="C86" s="46" t="s">
        <v>3157</v>
      </c>
      <c r="D86" s="46" t="s">
        <v>3158</v>
      </c>
      <c r="E86" s="46" t="s">
        <v>3159</v>
      </c>
      <c r="F86" s="46" t="s">
        <v>3160</v>
      </c>
      <c r="G86" s="46" t="s">
        <v>3161</v>
      </c>
      <c r="H86" s="46" t="s">
        <v>3162</v>
      </c>
      <c r="I86" s="46" t="s">
        <v>3163</v>
      </c>
      <c r="J86" s="46" t="s">
        <v>3164</v>
      </c>
      <c r="K86" s="46" t="s">
        <v>3165</v>
      </c>
      <c r="L86" s="46" t="s">
        <v>3166</v>
      </c>
    </row>
    <row r="87" spans="2:12">
      <c r="B87" s="46" t="s">
        <v>521</v>
      </c>
      <c r="C87" s="46" t="s">
        <v>3167</v>
      </c>
      <c r="D87" s="46" t="s">
        <v>3168</v>
      </c>
      <c r="E87" s="46" t="s">
        <v>3169</v>
      </c>
      <c r="F87" s="46" t="s">
        <v>3170</v>
      </c>
      <c r="G87" s="46" t="s">
        <v>3171</v>
      </c>
      <c r="H87" s="46" t="s">
        <v>3172</v>
      </c>
      <c r="I87" s="46" t="s">
        <v>3173</v>
      </c>
      <c r="J87" s="46" t="s">
        <v>3174</v>
      </c>
      <c r="K87" s="46" t="s">
        <v>3175</v>
      </c>
      <c r="L87" s="46" t="s">
        <v>3176</v>
      </c>
    </row>
    <row r="88" spans="2:12">
      <c r="B88" s="46" t="s">
        <v>520</v>
      </c>
      <c r="C88" s="46" t="s">
        <v>3177</v>
      </c>
      <c r="D88" s="46" t="s">
        <v>3178</v>
      </c>
      <c r="E88" s="46" t="s">
        <v>3179</v>
      </c>
      <c r="F88" s="46" t="s">
        <v>3180</v>
      </c>
      <c r="G88" s="46" t="s">
        <v>3181</v>
      </c>
      <c r="H88" s="46" t="s">
        <v>3182</v>
      </c>
      <c r="I88" s="46" t="s">
        <v>3183</v>
      </c>
      <c r="J88" s="46" t="s">
        <v>3184</v>
      </c>
      <c r="K88" s="46" t="s">
        <v>3185</v>
      </c>
      <c r="L88" s="46" t="s">
        <v>3186</v>
      </c>
    </row>
    <row r="89" spans="2:12">
      <c r="B89" s="46" t="s">
        <v>519</v>
      </c>
      <c r="C89" s="46" t="s">
        <v>3187</v>
      </c>
      <c r="D89" s="46" t="s">
        <v>3188</v>
      </c>
      <c r="E89" s="46" t="s">
        <v>3189</v>
      </c>
      <c r="F89" s="46" t="s">
        <v>3190</v>
      </c>
      <c r="G89" s="46" t="s">
        <v>3191</v>
      </c>
      <c r="H89" s="46" t="s">
        <v>3192</v>
      </c>
      <c r="I89" s="46" t="s">
        <v>3193</v>
      </c>
      <c r="J89" s="46" t="s">
        <v>3194</v>
      </c>
      <c r="K89" s="46" t="s">
        <v>3195</v>
      </c>
      <c r="L89" s="46" t="s">
        <v>3196</v>
      </c>
    </row>
    <row r="90" spans="2:12">
      <c r="B90" s="46" t="s">
        <v>518</v>
      </c>
      <c r="C90" s="46" t="s">
        <v>3197</v>
      </c>
      <c r="D90" s="46" t="s">
        <v>3198</v>
      </c>
      <c r="E90" s="46" t="s">
        <v>3199</v>
      </c>
      <c r="F90" s="46" t="s">
        <v>3200</v>
      </c>
      <c r="G90" s="46" t="s">
        <v>3201</v>
      </c>
      <c r="H90" s="46" t="s">
        <v>3202</v>
      </c>
      <c r="I90" s="46" t="s">
        <v>3203</v>
      </c>
      <c r="J90" s="46" t="s">
        <v>3204</v>
      </c>
      <c r="K90" s="46" t="s">
        <v>3205</v>
      </c>
      <c r="L90" s="46" t="s">
        <v>3206</v>
      </c>
    </row>
    <row r="91" spans="2:12">
      <c r="B91" s="46" t="s">
        <v>517</v>
      </c>
      <c r="C91" s="46" t="s">
        <v>3207</v>
      </c>
      <c r="D91" s="46" t="s">
        <v>3208</v>
      </c>
      <c r="E91" s="46" t="s">
        <v>3209</v>
      </c>
      <c r="F91" s="46" t="s">
        <v>3210</v>
      </c>
      <c r="G91" s="46" t="s">
        <v>3211</v>
      </c>
      <c r="H91" s="46" t="s">
        <v>3212</v>
      </c>
      <c r="I91" s="46" t="s">
        <v>3213</v>
      </c>
      <c r="J91" s="46" t="s">
        <v>3214</v>
      </c>
      <c r="K91" s="46" t="s">
        <v>3215</v>
      </c>
      <c r="L91" s="46" t="s">
        <v>3216</v>
      </c>
    </row>
    <row r="92" spans="2:12">
      <c r="B92" s="46" t="s">
        <v>516</v>
      </c>
      <c r="C92" s="46" t="s">
        <v>3217</v>
      </c>
      <c r="D92" s="46" t="s">
        <v>3218</v>
      </c>
      <c r="E92" s="46" t="s">
        <v>3219</v>
      </c>
      <c r="F92" s="46" t="s">
        <v>3220</v>
      </c>
      <c r="G92" s="46" t="s">
        <v>3221</v>
      </c>
      <c r="H92" s="46" t="s">
        <v>3222</v>
      </c>
      <c r="I92" s="46" t="s">
        <v>3223</v>
      </c>
      <c r="J92" s="46" t="s">
        <v>3224</v>
      </c>
      <c r="K92" s="46" t="s">
        <v>3225</v>
      </c>
      <c r="L92" s="46" t="s">
        <v>3226</v>
      </c>
    </row>
    <row r="93" spans="2:12">
      <c r="B93" s="46" t="s">
        <v>515</v>
      </c>
      <c r="C93" s="46" t="s">
        <v>3227</v>
      </c>
      <c r="D93" s="46" t="s">
        <v>3228</v>
      </c>
      <c r="E93" s="46" t="s">
        <v>3229</v>
      </c>
      <c r="F93" s="46" t="s">
        <v>3230</v>
      </c>
      <c r="G93" s="46" t="s">
        <v>3231</v>
      </c>
      <c r="H93" s="46" t="s">
        <v>3232</v>
      </c>
      <c r="I93" s="46" t="s">
        <v>3233</v>
      </c>
      <c r="J93" s="46" t="s">
        <v>3234</v>
      </c>
      <c r="K93" s="46" t="s">
        <v>3235</v>
      </c>
      <c r="L93" s="46" t="s">
        <v>3236</v>
      </c>
    </row>
    <row r="94" spans="2:12">
      <c r="B94" s="46" t="s">
        <v>514</v>
      </c>
      <c r="C94" s="46" t="s">
        <v>3237</v>
      </c>
      <c r="D94" s="46" t="s">
        <v>3238</v>
      </c>
      <c r="E94" s="46" t="s">
        <v>3239</v>
      </c>
      <c r="F94" s="46" t="s">
        <v>3240</v>
      </c>
      <c r="G94" s="46" t="s">
        <v>3241</v>
      </c>
      <c r="H94" s="46" t="s">
        <v>3242</v>
      </c>
      <c r="I94" s="46" t="s">
        <v>3243</v>
      </c>
      <c r="J94" s="46" t="s">
        <v>3244</v>
      </c>
      <c r="K94" s="46" t="s">
        <v>3245</v>
      </c>
      <c r="L94" s="46" t="s">
        <v>3246</v>
      </c>
    </row>
    <row r="95" spans="2:12">
      <c r="B95" s="46" t="s">
        <v>513</v>
      </c>
      <c r="C95" s="46" t="s">
        <v>3247</v>
      </c>
      <c r="D95" s="46" t="s">
        <v>3248</v>
      </c>
      <c r="E95" s="46" t="s">
        <v>3249</v>
      </c>
      <c r="F95" s="46" t="s">
        <v>3250</v>
      </c>
      <c r="G95" s="46" t="s">
        <v>3251</v>
      </c>
      <c r="H95" s="46" t="s">
        <v>3252</v>
      </c>
      <c r="I95" s="46" t="s">
        <v>3253</v>
      </c>
      <c r="J95" s="46" t="s">
        <v>3254</v>
      </c>
      <c r="K95" s="46" t="s">
        <v>3255</v>
      </c>
      <c r="L95" s="46" t="s">
        <v>3256</v>
      </c>
    </row>
    <row r="96" spans="2:12">
      <c r="B96" s="46" t="s">
        <v>512</v>
      </c>
      <c r="C96" s="46" t="s">
        <v>3257</v>
      </c>
      <c r="D96" s="46" t="s">
        <v>3258</v>
      </c>
      <c r="E96" s="46" t="s">
        <v>3259</v>
      </c>
      <c r="F96" s="46" t="s">
        <v>3260</v>
      </c>
      <c r="G96" s="46" t="s">
        <v>3261</v>
      </c>
      <c r="H96" s="46" t="s">
        <v>3262</v>
      </c>
      <c r="I96" s="46" t="s">
        <v>3263</v>
      </c>
      <c r="J96" s="46" t="s">
        <v>3264</v>
      </c>
      <c r="K96" s="46" t="s">
        <v>3265</v>
      </c>
      <c r="L96" s="46" t="s">
        <v>3266</v>
      </c>
    </row>
    <row r="97" spans="2:12">
      <c r="B97" s="46" t="s">
        <v>511</v>
      </c>
      <c r="C97" s="46" t="s">
        <v>3267</v>
      </c>
      <c r="D97" s="46" t="s">
        <v>3268</v>
      </c>
      <c r="E97" s="46" t="s">
        <v>3269</v>
      </c>
      <c r="F97" s="46" t="s">
        <v>3270</v>
      </c>
      <c r="G97" s="46" t="s">
        <v>3271</v>
      </c>
      <c r="H97" s="46" t="s">
        <v>3272</v>
      </c>
      <c r="I97" s="46" t="s">
        <v>3273</v>
      </c>
      <c r="J97" s="46" t="s">
        <v>3274</v>
      </c>
      <c r="K97" s="46" t="s">
        <v>3275</v>
      </c>
      <c r="L97" s="46" t="s">
        <v>3276</v>
      </c>
    </row>
    <row r="98" spans="2:12">
      <c r="B98" s="46" t="s">
        <v>510</v>
      </c>
      <c r="C98" s="46" t="s">
        <v>3277</v>
      </c>
      <c r="D98" s="46" t="s">
        <v>3278</v>
      </c>
      <c r="E98" s="46" t="s">
        <v>3279</v>
      </c>
      <c r="F98" s="46" t="s">
        <v>3280</v>
      </c>
      <c r="G98" s="46" t="s">
        <v>3281</v>
      </c>
      <c r="H98" s="46" t="s">
        <v>3282</v>
      </c>
      <c r="I98" s="46" t="s">
        <v>3283</v>
      </c>
      <c r="J98" s="46" t="s">
        <v>3284</v>
      </c>
      <c r="K98" s="46" t="s">
        <v>3285</v>
      </c>
      <c r="L98" s="46" t="s">
        <v>3286</v>
      </c>
    </row>
    <row r="99" spans="2:12">
      <c r="B99" s="46" t="s">
        <v>509</v>
      </c>
      <c r="C99" s="46" t="s">
        <v>3287</v>
      </c>
      <c r="D99" s="46" t="s">
        <v>3288</v>
      </c>
      <c r="E99" s="46" t="s">
        <v>3289</v>
      </c>
      <c r="F99" s="46" t="s">
        <v>3290</v>
      </c>
      <c r="G99" s="46" t="s">
        <v>3291</v>
      </c>
      <c r="H99" s="46" t="s">
        <v>3292</v>
      </c>
      <c r="I99" s="46" t="s">
        <v>3293</v>
      </c>
      <c r="J99" s="46" t="s">
        <v>3294</v>
      </c>
      <c r="K99" s="46" t="s">
        <v>3295</v>
      </c>
      <c r="L99" s="46" t="s">
        <v>3296</v>
      </c>
    </row>
    <row r="100" spans="2:12">
      <c r="B100" s="46" t="s">
        <v>508</v>
      </c>
      <c r="C100" s="46" t="s">
        <v>3297</v>
      </c>
      <c r="D100" s="46" t="s">
        <v>3298</v>
      </c>
      <c r="E100" s="46" t="s">
        <v>3299</v>
      </c>
      <c r="F100" s="46" t="s">
        <v>3300</v>
      </c>
      <c r="G100" s="46" t="s">
        <v>3301</v>
      </c>
      <c r="H100" s="46" t="s">
        <v>3302</v>
      </c>
      <c r="I100" s="46" t="s">
        <v>3303</v>
      </c>
      <c r="J100" s="46" t="s">
        <v>3304</v>
      </c>
      <c r="K100" s="46" t="s">
        <v>3305</v>
      </c>
      <c r="L100" s="46" t="s">
        <v>3306</v>
      </c>
    </row>
    <row r="101" spans="2:12">
      <c r="B101" s="46" t="s">
        <v>507</v>
      </c>
      <c r="C101" s="46" t="s">
        <v>3307</v>
      </c>
      <c r="D101" s="46" t="s">
        <v>3308</v>
      </c>
      <c r="E101" s="46" t="s">
        <v>3309</v>
      </c>
      <c r="F101" s="46" t="s">
        <v>3310</v>
      </c>
      <c r="G101" s="46" t="s">
        <v>3311</v>
      </c>
      <c r="H101" s="46" t="s">
        <v>3312</v>
      </c>
      <c r="I101" s="46" t="s">
        <v>3313</v>
      </c>
      <c r="J101" s="46" t="s">
        <v>3314</v>
      </c>
      <c r="K101" s="46" t="s">
        <v>3315</v>
      </c>
      <c r="L101" s="46" t="s">
        <v>3316</v>
      </c>
    </row>
    <row r="102" spans="2:12">
      <c r="B102" s="46" t="s">
        <v>506</v>
      </c>
      <c r="C102" s="46" t="s">
        <v>3317</v>
      </c>
      <c r="D102" s="46" t="s">
        <v>3318</v>
      </c>
      <c r="E102" s="46" t="s">
        <v>3319</v>
      </c>
      <c r="F102" s="46" t="s">
        <v>3320</v>
      </c>
      <c r="G102" s="46" t="s">
        <v>3321</v>
      </c>
      <c r="H102" s="46" t="s">
        <v>3322</v>
      </c>
      <c r="I102" s="46" t="s">
        <v>3323</v>
      </c>
      <c r="J102" s="46" t="s">
        <v>3324</v>
      </c>
      <c r="K102" s="46" t="s">
        <v>3325</v>
      </c>
      <c r="L102" s="46" t="s">
        <v>3326</v>
      </c>
    </row>
    <row r="103" spans="2:12">
      <c r="B103" s="46" t="s">
        <v>505</v>
      </c>
      <c r="C103" s="46" t="s">
        <v>3327</v>
      </c>
      <c r="D103" s="46" t="s">
        <v>3328</v>
      </c>
      <c r="E103" s="46" t="s">
        <v>3329</v>
      </c>
      <c r="F103" s="46" t="s">
        <v>3330</v>
      </c>
      <c r="G103" s="46" t="s">
        <v>3331</v>
      </c>
      <c r="H103" s="46" t="s">
        <v>3332</v>
      </c>
      <c r="I103" s="46" t="s">
        <v>3333</v>
      </c>
      <c r="J103" s="46" t="s">
        <v>3334</v>
      </c>
      <c r="K103" s="46" t="s">
        <v>3335</v>
      </c>
      <c r="L103" s="46" t="s">
        <v>3336</v>
      </c>
    </row>
    <row r="104" spans="2:12">
      <c r="B104" s="46" t="s">
        <v>504</v>
      </c>
      <c r="C104" s="46" t="s">
        <v>3337</v>
      </c>
      <c r="D104" s="46" t="s">
        <v>3338</v>
      </c>
      <c r="E104" s="46" t="s">
        <v>3339</v>
      </c>
      <c r="F104" s="46" t="s">
        <v>3340</v>
      </c>
      <c r="G104" s="46" t="s">
        <v>3341</v>
      </c>
      <c r="H104" s="46" t="s">
        <v>3342</v>
      </c>
      <c r="I104" s="46" t="s">
        <v>3343</v>
      </c>
      <c r="J104" s="46" t="s">
        <v>3344</v>
      </c>
      <c r="K104" s="46" t="s">
        <v>3345</v>
      </c>
      <c r="L104" s="46" t="s">
        <v>3346</v>
      </c>
    </row>
    <row r="105" spans="2:12">
      <c r="B105" s="46" t="s">
        <v>503</v>
      </c>
      <c r="C105" s="46" t="s">
        <v>3347</v>
      </c>
      <c r="D105" s="46" t="s">
        <v>3348</v>
      </c>
      <c r="E105" s="46" t="s">
        <v>3349</v>
      </c>
      <c r="F105" s="46" t="s">
        <v>3350</v>
      </c>
      <c r="G105" s="46" t="s">
        <v>3351</v>
      </c>
      <c r="H105" s="46" t="s">
        <v>3352</v>
      </c>
      <c r="I105" s="46" t="s">
        <v>3353</v>
      </c>
      <c r="J105" s="46" t="s">
        <v>3354</v>
      </c>
      <c r="K105" s="46" t="s">
        <v>3355</v>
      </c>
      <c r="L105" s="46" t="s">
        <v>3356</v>
      </c>
    </row>
    <row r="106" spans="2:12">
      <c r="B106" s="46" t="s">
        <v>502</v>
      </c>
      <c r="C106" s="46" t="s">
        <v>3357</v>
      </c>
      <c r="D106" s="46" t="s">
        <v>3358</v>
      </c>
      <c r="E106" s="46" t="s">
        <v>3359</v>
      </c>
      <c r="F106" s="46" t="s">
        <v>3360</v>
      </c>
      <c r="G106" s="46" t="s">
        <v>3361</v>
      </c>
      <c r="H106" s="46" t="s">
        <v>3362</v>
      </c>
      <c r="I106" s="46" t="s">
        <v>3363</v>
      </c>
      <c r="J106" s="46" t="s">
        <v>3364</v>
      </c>
      <c r="K106" s="46" t="s">
        <v>3365</v>
      </c>
      <c r="L106" s="46" t="s">
        <v>3366</v>
      </c>
    </row>
    <row r="107" spans="2:12">
      <c r="B107" s="46" t="s">
        <v>501</v>
      </c>
      <c r="C107" s="46" t="s">
        <v>3367</v>
      </c>
      <c r="D107" s="46" t="s">
        <v>3368</v>
      </c>
      <c r="E107" s="46" t="s">
        <v>3369</v>
      </c>
      <c r="F107" s="46" t="s">
        <v>3370</v>
      </c>
      <c r="G107" s="46" t="s">
        <v>3371</v>
      </c>
      <c r="H107" s="46" t="s">
        <v>3372</v>
      </c>
      <c r="I107" s="46" t="s">
        <v>3373</v>
      </c>
      <c r="J107" s="46" t="s">
        <v>3374</v>
      </c>
      <c r="K107" s="46" t="s">
        <v>3375</v>
      </c>
      <c r="L107" s="46" t="s">
        <v>3376</v>
      </c>
    </row>
    <row r="108" spans="2:12">
      <c r="B108" s="46" t="s">
        <v>500</v>
      </c>
      <c r="C108" s="46" t="s">
        <v>3377</v>
      </c>
      <c r="D108" s="46" t="s">
        <v>3378</v>
      </c>
      <c r="E108" s="46" t="s">
        <v>3379</v>
      </c>
      <c r="F108" s="46" t="s">
        <v>3380</v>
      </c>
      <c r="G108" s="46" t="s">
        <v>3381</v>
      </c>
      <c r="H108" s="46" t="s">
        <v>3382</v>
      </c>
      <c r="I108" s="46" t="s">
        <v>3383</v>
      </c>
      <c r="J108" s="46" t="s">
        <v>3384</v>
      </c>
      <c r="K108" s="46" t="s">
        <v>3385</v>
      </c>
      <c r="L108" s="46" t="s">
        <v>3386</v>
      </c>
    </row>
    <row r="109" spans="2:12">
      <c r="B109" s="46" t="s">
        <v>499</v>
      </c>
      <c r="C109" s="46" t="s">
        <v>3387</v>
      </c>
      <c r="D109" s="46" t="s">
        <v>3388</v>
      </c>
      <c r="E109" s="46" t="s">
        <v>3389</v>
      </c>
      <c r="F109" s="46" t="s">
        <v>3390</v>
      </c>
      <c r="G109" s="46" t="s">
        <v>3391</v>
      </c>
      <c r="H109" s="46" t="s">
        <v>3392</v>
      </c>
      <c r="I109" s="46" t="s">
        <v>3393</v>
      </c>
      <c r="J109" s="46" t="s">
        <v>3394</v>
      </c>
      <c r="K109" s="46" t="s">
        <v>3395</v>
      </c>
      <c r="L109" s="46" t="s">
        <v>3396</v>
      </c>
    </row>
    <row r="110" spans="2:12">
      <c r="B110" s="46" t="s">
        <v>498</v>
      </c>
      <c r="C110" s="46" t="s">
        <v>3397</v>
      </c>
      <c r="D110" s="46" t="s">
        <v>3398</v>
      </c>
      <c r="E110" s="46" t="s">
        <v>3399</v>
      </c>
      <c r="F110" s="46" t="s">
        <v>3400</v>
      </c>
      <c r="G110" s="46" t="s">
        <v>3401</v>
      </c>
      <c r="H110" s="46" t="s">
        <v>3402</v>
      </c>
      <c r="I110" s="46" t="s">
        <v>3403</v>
      </c>
      <c r="J110" s="46" t="s">
        <v>3404</v>
      </c>
      <c r="K110" s="46" t="s">
        <v>3405</v>
      </c>
      <c r="L110" s="46" t="s">
        <v>3406</v>
      </c>
    </row>
    <row r="111" spans="2:12">
      <c r="B111" s="46" t="s">
        <v>497</v>
      </c>
      <c r="C111" s="46" t="s">
        <v>3407</v>
      </c>
      <c r="D111" s="46" t="s">
        <v>3408</v>
      </c>
      <c r="E111" s="46" t="s">
        <v>3409</v>
      </c>
      <c r="F111" s="46" t="s">
        <v>3410</v>
      </c>
      <c r="G111" s="46" t="s">
        <v>3411</v>
      </c>
      <c r="H111" s="46" t="s">
        <v>3412</v>
      </c>
      <c r="I111" s="46" t="s">
        <v>3413</v>
      </c>
      <c r="J111" s="46" t="s">
        <v>3414</v>
      </c>
      <c r="K111" s="46" t="s">
        <v>3415</v>
      </c>
      <c r="L111" s="46" t="s">
        <v>3416</v>
      </c>
    </row>
    <row r="112" spans="2:12">
      <c r="B112" s="46" t="s">
        <v>496</v>
      </c>
      <c r="C112" s="46" t="s">
        <v>3417</v>
      </c>
      <c r="D112" s="46" t="s">
        <v>3418</v>
      </c>
      <c r="E112" s="46" t="s">
        <v>3419</v>
      </c>
      <c r="F112" s="46" t="s">
        <v>3420</v>
      </c>
      <c r="G112" s="46" t="s">
        <v>3421</v>
      </c>
      <c r="H112" s="46" t="s">
        <v>3422</v>
      </c>
      <c r="I112" s="46" t="s">
        <v>3423</v>
      </c>
      <c r="J112" s="46" t="s">
        <v>3424</v>
      </c>
      <c r="K112" s="46" t="s">
        <v>3425</v>
      </c>
      <c r="L112" s="46" t="s">
        <v>3426</v>
      </c>
    </row>
    <row r="113" spans="2:12">
      <c r="B113" s="46" t="s">
        <v>495</v>
      </c>
      <c r="C113" s="46" t="s">
        <v>3427</v>
      </c>
      <c r="D113" s="46" t="s">
        <v>3428</v>
      </c>
      <c r="E113" s="46" t="s">
        <v>3429</v>
      </c>
      <c r="F113" s="46" t="s">
        <v>3430</v>
      </c>
      <c r="G113" s="46" t="s">
        <v>3431</v>
      </c>
      <c r="H113" s="46" t="s">
        <v>3432</v>
      </c>
      <c r="I113" s="46" t="s">
        <v>3433</v>
      </c>
      <c r="J113" s="46" t="s">
        <v>3434</v>
      </c>
      <c r="K113" s="46" t="s">
        <v>3435</v>
      </c>
      <c r="L113" s="46" t="s">
        <v>3436</v>
      </c>
    </row>
    <row r="114" spans="2:12">
      <c r="B114" s="46" t="s">
        <v>494</v>
      </c>
      <c r="C114" s="46" t="s">
        <v>3437</v>
      </c>
      <c r="D114" s="46" t="s">
        <v>3438</v>
      </c>
      <c r="E114" s="46" t="s">
        <v>3439</v>
      </c>
      <c r="F114" s="46" t="s">
        <v>3440</v>
      </c>
      <c r="G114" s="46" t="s">
        <v>3441</v>
      </c>
      <c r="H114" s="46" t="s">
        <v>3442</v>
      </c>
      <c r="I114" s="46" t="s">
        <v>3443</v>
      </c>
      <c r="J114" s="46" t="s">
        <v>3444</v>
      </c>
      <c r="K114" s="46" t="s">
        <v>3445</v>
      </c>
      <c r="L114" s="46" t="s">
        <v>3446</v>
      </c>
    </row>
    <row r="115" spans="2:12">
      <c r="B115" s="46" t="s">
        <v>493</v>
      </c>
      <c r="C115" s="46" t="s">
        <v>3447</v>
      </c>
      <c r="D115" s="46" t="s">
        <v>3448</v>
      </c>
      <c r="E115" s="46" t="s">
        <v>3449</v>
      </c>
      <c r="F115" s="46" t="s">
        <v>3450</v>
      </c>
      <c r="G115" s="46" t="s">
        <v>3451</v>
      </c>
      <c r="H115" s="46" t="s">
        <v>3452</v>
      </c>
      <c r="I115" s="46" t="s">
        <v>3453</v>
      </c>
      <c r="J115" s="46" t="s">
        <v>3454</v>
      </c>
      <c r="K115" s="46" t="s">
        <v>3455</v>
      </c>
      <c r="L115" s="46" t="s">
        <v>3456</v>
      </c>
    </row>
    <row r="116" spans="2:12">
      <c r="B116" s="46" t="s">
        <v>492</v>
      </c>
      <c r="C116" s="46" t="s">
        <v>3457</v>
      </c>
      <c r="D116" s="46" t="s">
        <v>3458</v>
      </c>
      <c r="E116" s="46" t="s">
        <v>3459</v>
      </c>
      <c r="F116" s="46" t="s">
        <v>3460</v>
      </c>
      <c r="G116" s="46" t="s">
        <v>3461</v>
      </c>
      <c r="H116" s="46" t="s">
        <v>3462</v>
      </c>
      <c r="I116" s="46" t="s">
        <v>3463</v>
      </c>
      <c r="J116" s="46" t="s">
        <v>3464</v>
      </c>
      <c r="K116" s="46" t="s">
        <v>3465</v>
      </c>
      <c r="L116" s="46" t="s">
        <v>3466</v>
      </c>
    </row>
    <row r="117" spans="2:12">
      <c r="B117" s="46" t="s">
        <v>491</v>
      </c>
      <c r="C117" s="46" t="s">
        <v>3467</v>
      </c>
      <c r="D117" s="46" t="s">
        <v>3468</v>
      </c>
      <c r="E117" s="46" t="s">
        <v>3469</v>
      </c>
      <c r="F117" s="46" t="s">
        <v>3470</v>
      </c>
      <c r="G117" s="46" t="s">
        <v>3471</v>
      </c>
      <c r="H117" s="46" t="s">
        <v>3472</v>
      </c>
      <c r="I117" s="46" t="s">
        <v>3473</v>
      </c>
      <c r="J117" s="46" t="s">
        <v>3474</v>
      </c>
      <c r="K117" s="46" t="s">
        <v>3475</v>
      </c>
      <c r="L117" s="46" t="s">
        <v>3476</v>
      </c>
    </row>
    <row r="118" spans="2:12">
      <c r="B118" s="46" t="s">
        <v>490</v>
      </c>
      <c r="C118" s="46" t="s">
        <v>3477</v>
      </c>
      <c r="D118" s="46" t="s">
        <v>3478</v>
      </c>
      <c r="E118" s="46" t="s">
        <v>3479</v>
      </c>
      <c r="F118" s="46" t="s">
        <v>3480</v>
      </c>
      <c r="G118" s="46" t="s">
        <v>3481</v>
      </c>
      <c r="H118" s="46" t="s">
        <v>3482</v>
      </c>
      <c r="I118" s="46" t="s">
        <v>3483</v>
      </c>
      <c r="J118" s="46" t="s">
        <v>3484</v>
      </c>
      <c r="K118" s="46" t="s">
        <v>3485</v>
      </c>
      <c r="L118" s="46" t="s">
        <v>3486</v>
      </c>
    </row>
    <row r="119" spans="2:12">
      <c r="B119" s="46" t="s">
        <v>489</v>
      </c>
      <c r="C119" s="46" t="s">
        <v>3487</v>
      </c>
      <c r="D119" s="46" t="s">
        <v>3488</v>
      </c>
      <c r="E119" s="46" t="s">
        <v>3489</v>
      </c>
      <c r="F119" s="46" t="s">
        <v>3490</v>
      </c>
      <c r="G119" s="46" t="s">
        <v>3491</v>
      </c>
      <c r="H119" s="46" t="s">
        <v>3492</v>
      </c>
      <c r="I119" s="46" t="s">
        <v>3493</v>
      </c>
      <c r="J119" s="46" t="s">
        <v>3494</v>
      </c>
      <c r="K119" s="46" t="s">
        <v>3495</v>
      </c>
      <c r="L119" s="46" t="s">
        <v>3496</v>
      </c>
    </row>
    <row r="120" spans="2:12">
      <c r="B120" s="46" t="s">
        <v>488</v>
      </c>
      <c r="C120" s="46" t="s">
        <v>3497</v>
      </c>
      <c r="D120" s="46" t="s">
        <v>3498</v>
      </c>
      <c r="E120" s="46" t="s">
        <v>3499</v>
      </c>
      <c r="F120" s="46" t="s">
        <v>3500</v>
      </c>
      <c r="G120" s="46" t="s">
        <v>3501</v>
      </c>
      <c r="H120" s="46" t="s">
        <v>3502</v>
      </c>
      <c r="I120" s="46" t="s">
        <v>3503</v>
      </c>
      <c r="J120" s="46" t="s">
        <v>3504</v>
      </c>
      <c r="K120" s="46" t="s">
        <v>3505</v>
      </c>
      <c r="L120" s="46" t="s">
        <v>3506</v>
      </c>
    </row>
    <row r="121" spans="2:12">
      <c r="B121" s="46" t="s">
        <v>487</v>
      </c>
      <c r="C121" s="46" t="s">
        <v>3507</v>
      </c>
      <c r="D121" s="46" t="s">
        <v>3508</v>
      </c>
      <c r="E121" s="46" t="s">
        <v>3509</v>
      </c>
      <c r="F121" s="46" t="s">
        <v>3510</v>
      </c>
      <c r="G121" s="46" t="s">
        <v>3511</v>
      </c>
      <c r="H121" s="46" t="s">
        <v>3512</v>
      </c>
      <c r="I121" s="46" t="s">
        <v>3513</v>
      </c>
      <c r="J121" s="46" t="s">
        <v>3514</v>
      </c>
      <c r="K121" s="46" t="s">
        <v>3515</v>
      </c>
      <c r="L121" s="46" t="s">
        <v>3516</v>
      </c>
    </row>
    <row r="122" spans="2:12">
      <c r="B122" s="46" t="s">
        <v>486</v>
      </c>
      <c r="C122" s="46" t="s">
        <v>3517</v>
      </c>
      <c r="D122" s="46" t="s">
        <v>3518</v>
      </c>
      <c r="E122" s="46" t="s">
        <v>3519</v>
      </c>
      <c r="F122" s="46" t="s">
        <v>3520</v>
      </c>
      <c r="G122" s="46" t="s">
        <v>3521</v>
      </c>
      <c r="H122" s="46" t="s">
        <v>3522</v>
      </c>
      <c r="I122" s="46" t="s">
        <v>3523</v>
      </c>
      <c r="J122" s="46" t="s">
        <v>3524</v>
      </c>
      <c r="K122" s="46" t="s">
        <v>3525</v>
      </c>
      <c r="L122" s="46" t="s">
        <v>3526</v>
      </c>
    </row>
    <row r="123" spans="2:12">
      <c r="B123" s="46" t="s">
        <v>485</v>
      </c>
      <c r="C123" s="46" t="s">
        <v>3527</v>
      </c>
      <c r="D123" s="46" t="s">
        <v>3528</v>
      </c>
      <c r="E123" s="46" t="s">
        <v>3529</v>
      </c>
      <c r="F123" s="46" t="s">
        <v>3530</v>
      </c>
      <c r="G123" s="46" t="s">
        <v>3531</v>
      </c>
      <c r="H123" s="46" t="s">
        <v>3532</v>
      </c>
      <c r="I123" s="46" t="s">
        <v>3533</v>
      </c>
      <c r="J123" s="46" t="s">
        <v>3534</v>
      </c>
      <c r="K123" s="46" t="s">
        <v>3535</v>
      </c>
      <c r="L123" s="46" t="s">
        <v>3536</v>
      </c>
    </row>
    <row r="124" spans="2:12">
      <c r="B124" s="46" t="s">
        <v>484</v>
      </c>
      <c r="C124" s="46" t="s">
        <v>3537</v>
      </c>
      <c r="D124" s="46" t="s">
        <v>3538</v>
      </c>
      <c r="E124" s="46" t="s">
        <v>3539</v>
      </c>
      <c r="F124" s="46" t="s">
        <v>3540</v>
      </c>
      <c r="G124" s="46" t="s">
        <v>3541</v>
      </c>
      <c r="H124" s="46" t="s">
        <v>3542</v>
      </c>
      <c r="I124" s="46" t="s">
        <v>3543</v>
      </c>
      <c r="J124" s="46" t="s">
        <v>3544</v>
      </c>
      <c r="K124" s="46" t="s">
        <v>3545</v>
      </c>
      <c r="L124" s="46" t="s">
        <v>3546</v>
      </c>
    </row>
    <row r="125" spans="2:12">
      <c r="B125" s="46" t="s">
        <v>483</v>
      </c>
      <c r="C125" s="46" t="s">
        <v>3547</v>
      </c>
      <c r="D125" s="46" t="s">
        <v>3548</v>
      </c>
      <c r="E125" s="46" t="s">
        <v>3549</v>
      </c>
      <c r="F125" s="46" t="s">
        <v>3550</v>
      </c>
      <c r="G125" s="46" t="s">
        <v>3551</v>
      </c>
      <c r="H125" s="46" t="s">
        <v>3552</v>
      </c>
      <c r="I125" s="46" t="s">
        <v>3553</v>
      </c>
      <c r="J125" s="46" t="s">
        <v>3554</v>
      </c>
      <c r="K125" s="46" t="s">
        <v>3555</v>
      </c>
      <c r="L125" s="46" t="s">
        <v>3556</v>
      </c>
    </row>
    <row r="126" spans="2:12">
      <c r="B126" s="46" t="s">
        <v>482</v>
      </c>
      <c r="C126" s="46" t="s">
        <v>3557</v>
      </c>
      <c r="D126" s="46" t="s">
        <v>3558</v>
      </c>
      <c r="E126" s="46" t="s">
        <v>3559</v>
      </c>
      <c r="F126" s="46" t="s">
        <v>3560</v>
      </c>
      <c r="G126" s="46" t="s">
        <v>3561</v>
      </c>
      <c r="H126" s="46" t="s">
        <v>3562</v>
      </c>
      <c r="I126" s="46" t="s">
        <v>3563</v>
      </c>
      <c r="J126" s="46" t="s">
        <v>3564</v>
      </c>
      <c r="K126" s="46" t="s">
        <v>3565</v>
      </c>
      <c r="L126" s="46" t="s">
        <v>3566</v>
      </c>
    </row>
    <row r="127" spans="2:12">
      <c r="B127" s="46" t="s">
        <v>481</v>
      </c>
      <c r="C127" s="46" t="s">
        <v>3567</v>
      </c>
      <c r="D127" s="46" t="s">
        <v>3568</v>
      </c>
      <c r="E127" s="46" t="s">
        <v>3569</v>
      </c>
      <c r="F127" s="46" t="s">
        <v>3570</v>
      </c>
      <c r="G127" s="46" t="s">
        <v>3571</v>
      </c>
      <c r="H127" s="46" t="s">
        <v>3572</v>
      </c>
      <c r="I127" s="46" t="s">
        <v>3573</v>
      </c>
      <c r="J127" s="46" t="s">
        <v>3574</v>
      </c>
      <c r="K127" s="46" t="s">
        <v>3575</v>
      </c>
      <c r="L127" s="46" t="s">
        <v>3576</v>
      </c>
    </row>
    <row r="128" spans="2:12">
      <c r="B128" s="46" t="s">
        <v>480</v>
      </c>
      <c r="C128" s="46" t="s">
        <v>3577</v>
      </c>
      <c r="D128" s="46" t="s">
        <v>3578</v>
      </c>
      <c r="E128" s="46" t="s">
        <v>3579</v>
      </c>
      <c r="F128" s="46" t="s">
        <v>3580</v>
      </c>
      <c r="G128" s="46" t="s">
        <v>3581</v>
      </c>
      <c r="H128" s="46" t="s">
        <v>3582</v>
      </c>
      <c r="I128" s="46" t="s">
        <v>3583</v>
      </c>
      <c r="J128" s="46" t="s">
        <v>3584</v>
      </c>
      <c r="K128" s="46" t="s">
        <v>3585</v>
      </c>
      <c r="L128" s="46" t="s">
        <v>3586</v>
      </c>
    </row>
    <row r="129" spans="2:12">
      <c r="B129" s="46" t="s">
        <v>479</v>
      </c>
      <c r="C129" s="46" t="s">
        <v>3587</v>
      </c>
      <c r="D129" s="46" t="s">
        <v>3588</v>
      </c>
      <c r="E129" s="46" t="s">
        <v>3589</v>
      </c>
      <c r="F129" s="46" t="s">
        <v>3590</v>
      </c>
      <c r="G129" s="46" t="s">
        <v>3591</v>
      </c>
      <c r="H129" s="46" t="s">
        <v>3592</v>
      </c>
      <c r="I129" s="46" t="s">
        <v>3593</v>
      </c>
      <c r="J129" s="46" t="s">
        <v>3594</v>
      </c>
      <c r="K129" s="46" t="s">
        <v>3595</v>
      </c>
      <c r="L129" s="46" t="s">
        <v>3596</v>
      </c>
    </row>
    <row r="130" spans="2:12">
      <c r="B130" s="46" t="s">
        <v>478</v>
      </c>
      <c r="C130" s="46" t="s">
        <v>3597</v>
      </c>
      <c r="D130" s="46" t="s">
        <v>3598</v>
      </c>
      <c r="E130" s="46" t="s">
        <v>3599</v>
      </c>
      <c r="F130" s="46" t="s">
        <v>3600</v>
      </c>
      <c r="G130" s="46" t="s">
        <v>3601</v>
      </c>
      <c r="H130" s="46" t="s">
        <v>3602</v>
      </c>
      <c r="I130" s="46" t="s">
        <v>3603</v>
      </c>
      <c r="J130" s="46" t="s">
        <v>3604</v>
      </c>
      <c r="K130" s="46" t="s">
        <v>3605</v>
      </c>
      <c r="L130" s="46" t="s">
        <v>3606</v>
      </c>
    </row>
    <row r="131" spans="2:12">
      <c r="B131" s="46" t="s">
        <v>477</v>
      </c>
      <c r="C131" s="46" t="s">
        <v>3607</v>
      </c>
      <c r="D131" s="46" t="s">
        <v>3608</v>
      </c>
      <c r="E131" s="46" t="s">
        <v>3609</v>
      </c>
      <c r="F131" s="46" t="s">
        <v>3610</v>
      </c>
      <c r="G131" s="46" t="s">
        <v>3611</v>
      </c>
      <c r="H131" s="46" t="s">
        <v>3612</v>
      </c>
      <c r="I131" s="46" t="s">
        <v>3613</v>
      </c>
      <c r="J131" s="46" t="s">
        <v>3614</v>
      </c>
      <c r="K131" s="46" t="s">
        <v>3615</v>
      </c>
      <c r="L131" s="46" t="s">
        <v>3616</v>
      </c>
    </row>
    <row r="132" spans="2:12">
      <c r="B132" s="46" t="s">
        <v>476</v>
      </c>
      <c r="C132" s="46" t="s">
        <v>3617</v>
      </c>
      <c r="D132" s="46" t="s">
        <v>3618</v>
      </c>
      <c r="E132" s="46" t="s">
        <v>3619</v>
      </c>
      <c r="F132" s="46" t="s">
        <v>3620</v>
      </c>
      <c r="G132" s="46" t="s">
        <v>3621</v>
      </c>
      <c r="H132" s="46" t="s">
        <v>3622</v>
      </c>
      <c r="I132" s="46" t="s">
        <v>3623</v>
      </c>
      <c r="J132" s="46" t="s">
        <v>3624</v>
      </c>
      <c r="K132" s="46" t="s">
        <v>3625</v>
      </c>
      <c r="L132" s="46" t="s">
        <v>3626</v>
      </c>
    </row>
    <row r="133" spans="2:12">
      <c r="B133" s="46" t="s">
        <v>475</v>
      </c>
      <c r="C133" s="46" t="s">
        <v>3627</v>
      </c>
      <c r="D133" s="46" t="s">
        <v>3628</v>
      </c>
      <c r="E133" s="46" t="s">
        <v>3629</v>
      </c>
      <c r="F133" s="46" t="s">
        <v>3630</v>
      </c>
      <c r="G133" s="46" t="s">
        <v>3631</v>
      </c>
      <c r="H133" s="46" t="s">
        <v>3632</v>
      </c>
      <c r="I133" s="46" t="s">
        <v>3633</v>
      </c>
      <c r="J133" s="46" t="s">
        <v>3634</v>
      </c>
      <c r="K133" s="46" t="s">
        <v>3635</v>
      </c>
      <c r="L133" s="46" t="s">
        <v>3636</v>
      </c>
    </row>
    <row r="134" spans="2:12">
      <c r="B134" s="46" t="s">
        <v>474</v>
      </c>
      <c r="C134" s="46" t="s">
        <v>3637</v>
      </c>
      <c r="D134" s="46" t="s">
        <v>3638</v>
      </c>
      <c r="E134" s="46" t="s">
        <v>3639</v>
      </c>
      <c r="F134" s="46" t="s">
        <v>3640</v>
      </c>
      <c r="G134" s="46" t="s">
        <v>3641</v>
      </c>
      <c r="H134" s="46" t="s">
        <v>3642</v>
      </c>
      <c r="I134" s="46" t="s">
        <v>3643</v>
      </c>
      <c r="J134" s="46" t="s">
        <v>3644</v>
      </c>
      <c r="K134" s="46" t="s">
        <v>3645</v>
      </c>
      <c r="L134" s="46" t="s">
        <v>3646</v>
      </c>
    </row>
    <row r="135" spans="2:12">
      <c r="B135" s="46" t="s">
        <v>473</v>
      </c>
      <c r="C135" s="46" t="s">
        <v>3647</v>
      </c>
      <c r="D135" s="46" t="s">
        <v>3648</v>
      </c>
      <c r="E135" s="46" t="s">
        <v>3649</v>
      </c>
      <c r="F135" s="46" t="s">
        <v>3650</v>
      </c>
      <c r="G135" s="46" t="s">
        <v>3651</v>
      </c>
      <c r="H135" s="46" t="s">
        <v>3652</v>
      </c>
      <c r="I135" s="46" t="s">
        <v>3653</v>
      </c>
      <c r="J135" s="46" t="s">
        <v>3654</v>
      </c>
      <c r="K135" s="46" t="s">
        <v>3655</v>
      </c>
      <c r="L135" s="46" t="s">
        <v>3656</v>
      </c>
    </row>
    <row r="136" spans="2:12">
      <c r="B136" s="46" t="s">
        <v>472</v>
      </c>
      <c r="C136" s="46" t="s">
        <v>3657</v>
      </c>
      <c r="D136" s="46" t="s">
        <v>3658</v>
      </c>
      <c r="E136" s="46" t="s">
        <v>3659</v>
      </c>
      <c r="F136" s="46" t="s">
        <v>3660</v>
      </c>
      <c r="G136" s="46" t="s">
        <v>3661</v>
      </c>
      <c r="H136" s="46" t="s">
        <v>3662</v>
      </c>
      <c r="I136" s="46" t="s">
        <v>3663</v>
      </c>
      <c r="J136" s="46" t="s">
        <v>3664</v>
      </c>
      <c r="K136" s="46" t="s">
        <v>3665</v>
      </c>
      <c r="L136" s="46" t="s">
        <v>3666</v>
      </c>
    </row>
    <row r="137" spans="2:12">
      <c r="B137" s="46" t="s">
        <v>471</v>
      </c>
      <c r="C137" s="46" t="s">
        <v>3667</v>
      </c>
      <c r="D137" s="46" t="s">
        <v>3668</v>
      </c>
      <c r="E137" s="46" t="s">
        <v>3669</v>
      </c>
      <c r="F137" s="46" t="s">
        <v>3670</v>
      </c>
      <c r="G137" s="46" t="s">
        <v>3671</v>
      </c>
      <c r="H137" s="46" t="s">
        <v>3672</v>
      </c>
      <c r="I137" s="46" t="s">
        <v>3673</v>
      </c>
      <c r="J137" s="46" t="s">
        <v>3674</v>
      </c>
      <c r="K137" s="46" t="s">
        <v>3675</v>
      </c>
      <c r="L137" s="46" t="s">
        <v>3676</v>
      </c>
    </row>
    <row r="138" spans="2:12">
      <c r="B138" s="46" t="s">
        <v>470</v>
      </c>
      <c r="C138" s="46" t="s">
        <v>3677</v>
      </c>
      <c r="D138" s="46" t="s">
        <v>3678</v>
      </c>
      <c r="E138" s="46" t="s">
        <v>3679</v>
      </c>
      <c r="F138" s="46" t="s">
        <v>3680</v>
      </c>
      <c r="G138" s="46" t="s">
        <v>3681</v>
      </c>
      <c r="H138" s="46" t="s">
        <v>3682</v>
      </c>
      <c r="I138" s="46" t="s">
        <v>3683</v>
      </c>
      <c r="J138" s="46" t="s">
        <v>3684</v>
      </c>
      <c r="K138" s="46" t="s">
        <v>3685</v>
      </c>
      <c r="L138" s="46" t="s">
        <v>3686</v>
      </c>
    </row>
    <row r="139" spans="2:12">
      <c r="B139" s="46" t="s">
        <v>469</v>
      </c>
      <c r="C139" s="46" t="s">
        <v>3687</v>
      </c>
      <c r="D139" s="46" t="s">
        <v>3688</v>
      </c>
      <c r="E139" s="46" t="s">
        <v>3689</v>
      </c>
      <c r="F139" s="46" t="s">
        <v>3690</v>
      </c>
      <c r="G139" s="46" t="s">
        <v>3691</v>
      </c>
      <c r="H139" s="46" t="s">
        <v>3692</v>
      </c>
      <c r="I139" s="46" t="s">
        <v>3693</v>
      </c>
      <c r="J139" s="46" t="s">
        <v>3694</v>
      </c>
      <c r="K139" s="46" t="s">
        <v>3695</v>
      </c>
      <c r="L139" s="46" t="s">
        <v>3696</v>
      </c>
    </row>
    <row r="140" spans="2:12">
      <c r="B140" s="46" t="s">
        <v>468</v>
      </c>
      <c r="C140" s="46" t="s">
        <v>3697</v>
      </c>
      <c r="D140" s="46" t="s">
        <v>3698</v>
      </c>
      <c r="E140" s="46" t="s">
        <v>3699</v>
      </c>
      <c r="F140" s="46" t="s">
        <v>3700</v>
      </c>
      <c r="G140" s="46" t="s">
        <v>3701</v>
      </c>
      <c r="H140" s="46" t="s">
        <v>3702</v>
      </c>
      <c r="I140" s="46" t="s">
        <v>3703</v>
      </c>
      <c r="J140" s="46" t="s">
        <v>3704</v>
      </c>
      <c r="K140" s="46" t="s">
        <v>3705</v>
      </c>
      <c r="L140" s="46" t="s">
        <v>3706</v>
      </c>
    </row>
    <row r="141" spans="2:12">
      <c r="B141" s="46" t="s">
        <v>467</v>
      </c>
      <c r="C141" s="46" t="s">
        <v>3707</v>
      </c>
      <c r="D141" s="46" t="s">
        <v>3708</v>
      </c>
      <c r="E141" s="46" t="s">
        <v>3709</v>
      </c>
      <c r="F141" s="46" t="s">
        <v>3710</v>
      </c>
      <c r="G141" s="46" t="s">
        <v>3711</v>
      </c>
      <c r="H141" s="46" t="s">
        <v>3712</v>
      </c>
      <c r="I141" s="46" t="s">
        <v>3713</v>
      </c>
      <c r="J141" s="46" t="s">
        <v>3714</v>
      </c>
      <c r="K141" s="46" t="s">
        <v>3715</v>
      </c>
      <c r="L141" s="46" t="s">
        <v>3716</v>
      </c>
    </row>
    <row r="142" spans="2:12">
      <c r="B142" s="46" t="s">
        <v>466</v>
      </c>
      <c r="C142" s="46" t="s">
        <v>3717</v>
      </c>
      <c r="D142" s="46" t="s">
        <v>3718</v>
      </c>
      <c r="E142" s="46" t="s">
        <v>3719</v>
      </c>
      <c r="F142" s="46" t="s">
        <v>3720</v>
      </c>
      <c r="G142" s="46" t="s">
        <v>3721</v>
      </c>
      <c r="H142" s="46" t="s">
        <v>3722</v>
      </c>
      <c r="I142" s="46" t="s">
        <v>3723</v>
      </c>
      <c r="J142" s="46" t="s">
        <v>3724</v>
      </c>
      <c r="K142" s="46" t="s">
        <v>3725</v>
      </c>
      <c r="L142" s="46" t="s">
        <v>3726</v>
      </c>
    </row>
    <row r="143" spans="2:12">
      <c r="B143" s="46" t="s">
        <v>465</v>
      </c>
      <c r="C143" s="46" t="s">
        <v>3727</v>
      </c>
      <c r="D143" s="46" t="s">
        <v>3728</v>
      </c>
      <c r="E143" s="46" t="s">
        <v>3729</v>
      </c>
      <c r="F143" s="46" t="s">
        <v>3730</v>
      </c>
      <c r="G143" s="46" t="s">
        <v>3731</v>
      </c>
      <c r="H143" s="46" t="s">
        <v>3732</v>
      </c>
      <c r="I143" s="46" t="s">
        <v>3733</v>
      </c>
      <c r="J143" s="46" t="s">
        <v>3734</v>
      </c>
      <c r="K143" s="46" t="s">
        <v>3735</v>
      </c>
      <c r="L143" s="46" t="s">
        <v>3736</v>
      </c>
    </row>
    <row r="144" spans="2:12">
      <c r="B144" s="46" t="s">
        <v>464</v>
      </c>
      <c r="C144" s="46" t="s">
        <v>3737</v>
      </c>
      <c r="D144" s="46" t="s">
        <v>3738</v>
      </c>
      <c r="E144" s="46" t="s">
        <v>3739</v>
      </c>
      <c r="F144" s="46" t="s">
        <v>3740</v>
      </c>
      <c r="G144" s="46" t="s">
        <v>3741</v>
      </c>
      <c r="H144" s="46" t="s">
        <v>3742</v>
      </c>
      <c r="I144" s="46" t="s">
        <v>3743</v>
      </c>
      <c r="J144" s="46" t="s">
        <v>3744</v>
      </c>
      <c r="K144" s="46" t="s">
        <v>3745</v>
      </c>
      <c r="L144" s="46" t="s">
        <v>3746</v>
      </c>
    </row>
    <row r="145" spans="2:12">
      <c r="B145" s="46" t="s">
        <v>463</v>
      </c>
      <c r="C145" s="46" t="s">
        <v>3747</v>
      </c>
      <c r="D145" s="46" t="s">
        <v>3748</v>
      </c>
      <c r="E145" s="46" t="s">
        <v>3749</v>
      </c>
      <c r="F145" s="46" t="s">
        <v>3750</v>
      </c>
      <c r="G145" s="46" t="s">
        <v>3751</v>
      </c>
      <c r="H145" s="46" t="s">
        <v>3752</v>
      </c>
      <c r="I145" s="46" t="s">
        <v>3753</v>
      </c>
      <c r="J145" s="46" t="s">
        <v>3754</v>
      </c>
      <c r="K145" s="46" t="s">
        <v>3755</v>
      </c>
      <c r="L145" s="46" t="s">
        <v>3756</v>
      </c>
    </row>
    <row r="146" spans="2:12">
      <c r="B146" s="46" t="s">
        <v>462</v>
      </c>
      <c r="C146" s="46" t="s">
        <v>3757</v>
      </c>
      <c r="D146" s="46" t="s">
        <v>3758</v>
      </c>
      <c r="E146" s="46" t="s">
        <v>3759</v>
      </c>
      <c r="F146" s="46" t="s">
        <v>3760</v>
      </c>
      <c r="G146" s="46" t="s">
        <v>3761</v>
      </c>
      <c r="H146" s="46" t="s">
        <v>3762</v>
      </c>
      <c r="I146" s="46" t="s">
        <v>3763</v>
      </c>
      <c r="J146" s="46" t="s">
        <v>3764</v>
      </c>
      <c r="K146" s="46" t="s">
        <v>3765</v>
      </c>
      <c r="L146" s="46" t="s">
        <v>3766</v>
      </c>
    </row>
    <row r="147" spans="2:12">
      <c r="B147" s="46" t="s">
        <v>461</v>
      </c>
      <c r="C147" s="46" t="s">
        <v>3767</v>
      </c>
      <c r="D147" s="46" t="s">
        <v>3768</v>
      </c>
      <c r="E147" s="46" t="s">
        <v>3769</v>
      </c>
      <c r="F147" s="46" t="s">
        <v>3770</v>
      </c>
      <c r="G147" s="46" t="s">
        <v>3771</v>
      </c>
      <c r="H147" s="46" t="s">
        <v>3772</v>
      </c>
      <c r="I147" s="46" t="s">
        <v>3773</v>
      </c>
      <c r="J147" s="46" t="s">
        <v>3774</v>
      </c>
      <c r="K147" s="46" t="s">
        <v>3775</v>
      </c>
      <c r="L147" s="46" t="s">
        <v>3776</v>
      </c>
    </row>
    <row r="148" spans="2:12">
      <c r="B148" s="46" t="s">
        <v>460</v>
      </c>
      <c r="C148" s="46" t="s">
        <v>3777</v>
      </c>
      <c r="D148" s="46" t="s">
        <v>3778</v>
      </c>
      <c r="E148" s="46" t="s">
        <v>3779</v>
      </c>
      <c r="F148" s="46" t="s">
        <v>3780</v>
      </c>
      <c r="G148" s="46" t="s">
        <v>3781</v>
      </c>
      <c r="H148" s="46" t="s">
        <v>3782</v>
      </c>
      <c r="I148" s="46" t="s">
        <v>3783</v>
      </c>
      <c r="J148" s="46" t="s">
        <v>3784</v>
      </c>
      <c r="K148" s="46" t="s">
        <v>3785</v>
      </c>
      <c r="L148" s="46" t="s">
        <v>3786</v>
      </c>
    </row>
    <row r="149" spans="2:12">
      <c r="B149" s="46" t="s">
        <v>459</v>
      </c>
      <c r="C149" s="46" t="s">
        <v>3787</v>
      </c>
      <c r="D149" s="46" t="s">
        <v>3788</v>
      </c>
      <c r="E149" s="46" t="s">
        <v>3789</v>
      </c>
      <c r="F149" s="46" t="s">
        <v>3790</v>
      </c>
      <c r="G149" s="46" t="s">
        <v>3791</v>
      </c>
      <c r="H149" s="46" t="s">
        <v>3792</v>
      </c>
      <c r="I149" s="46" t="s">
        <v>3793</v>
      </c>
      <c r="J149" s="46" t="s">
        <v>3794</v>
      </c>
      <c r="K149" s="46" t="s">
        <v>3795</v>
      </c>
      <c r="L149" s="46" t="s">
        <v>3796</v>
      </c>
    </row>
    <row r="150" spans="2:12">
      <c r="B150" s="46" t="s">
        <v>458</v>
      </c>
      <c r="C150" s="46" t="s">
        <v>3797</v>
      </c>
      <c r="D150" s="46" t="s">
        <v>3798</v>
      </c>
      <c r="E150" s="46" t="s">
        <v>3799</v>
      </c>
      <c r="F150" s="46" t="s">
        <v>3800</v>
      </c>
      <c r="G150" s="46" t="s">
        <v>3801</v>
      </c>
      <c r="H150" s="46" t="s">
        <v>3802</v>
      </c>
      <c r="I150" s="46" t="s">
        <v>3803</v>
      </c>
      <c r="J150" s="46" t="s">
        <v>3804</v>
      </c>
      <c r="K150" s="46" t="s">
        <v>3805</v>
      </c>
      <c r="L150" s="46" t="s">
        <v>3806</v>
      </c>
    </row>
    <row r="151" spans="2:12">
      <c r="B151" s="46" t="s">
        <v>457</v>
      </c>
      <c r="C151" s="46" t="s">
        <v>3807</v>
      </c>
      <c r="D151" s="46" t="s">
        <v>3808</v>
      </c>
      <c r="E151" s="46" t="s">
        <v>3809</v>
      </c>
      <c r="F151" s="46" t="s">
        <v>3810</v>
      </c>
      <c r="G151" s="46" t="s">
        <v>3811</v>
      </c>
      <c r="H151" s="46" t="s">
        <v>3812</v>
      </c>
      <c r="I151" s="46" t="s">
        <v>3813</v>
      </c>
      <c r="J151" s="46" t="s">
        <v>3814</v>
      </c>
      <c r="K151" s="46" t="s">
        <v>3815</v>
      </c>
      <c r="L151" s="46" t="s">
        <v>3816</v>
      </c>
    </row>
    <row r="152" spans="2:12">
      <c r="B152" s="46" t="s">
        <v>456</v>
      </c>
      <c r="C152" s="46" t="s">
        <v>3817</v>
      </c>
      <c r="D152" s="46" t="s">
        <v>3818</v>
      </c>
      <c r="E152" s="46" t="s">
        <v>3819</v>
      </c>
      <c r="F152" s="46" t="s">
        <v>3820</v>
      </c>
      <c r="G152" s="46" t="s">
        <v>3821</v>
      </c>
      <c r="H152" s="46" t="s">
        <v>3822</v>
      </c>
      <c r="I152" s="46" t="s">
        <v>3823</v>
      </c>
      <c r="J152" s="46" t="s">
        <v>3824</v>
      </c>
      <c r="K152" s="46" t="s">
        <v>3825</v>
      </c>
      <c r="L152" s="46" t="s">
        <v>3826</v>
      </c>
    </row>
    <row r="153" spans="2:12">
      <c r="B153" s="46" t="s">
        <v>455</v>
      </c>
      <c r="C153" s="46" t="s">
        <v>3827</v>
      </c>
      <c r="D153" s="46" t="s">
        <v>3828</v>
      </c>
      <c r="E153" s="46" t="s">
        <v>3829</v>
      </c>
      <c r="F153" s="46" t="s">
        <v>3830</v>
      </c>
      <c r="G153" s="46" t="s">
        <v>3831</v>
      </c>
      <c r="H153" s="46" t="s">
        <v>3832</v>
      </c>
      <c r="I153" s="46" t="s">
        <v>3833</v>
      </c>
      <c r="J153" s="46" t="s">
        <v>3834</v>
      </c>
      <c r="K153" s="46" t="s">
        <v>3835</v>
      </c>
      <c r="L153" s="46" t="s">
        <v>3836</v>
      </c>
    </row>
    <row r="154" spans="2:12">
      <c r="B154" s="46" t="s">
        <v>454</v>
      </c>
      <c r="C154" s="46" t="s">
        <v>3837</v>
      </c>
      <c r="D154" s="46" t="s">
        <v>3838</v>
      </c>
      <c r="E154" s="46" t="s">
        <v>3839</v>
      </c>
      <c r="F154" s="46" t="s">
        <v>3840</v>
      </c>
      <c r="G154" s="46" t="s">
        <v>3841</v>
      </c>
      <c r="H154" s="46" t="s">
        <v>3842</v>
      </c>
      <c r="I154" s="46" t="s">
        <v>3843</v>
      </c>
      <c r="J154" s="46" t="s">
        <v>3844</v>
      </c>
      <c r="K154" s="46" t="s">
        <v>3845</v>
      </c>
      <c r="L154" s="46" t="s">
        <v>3846</v>
      </c>
    </row>
    <row r="155" spans="2:12">
      <c r="B155" s="46" t="s">
        <v>453</v>
      </c>
      <c r="C155" s="46" t="s">
        <v>3847</v>
      </c>
      <c r="D155" s="46" t="s">
        <v>3848</v>
      </c>
      <c r="E155" s="46" t="s">
        <v>3849</v>
      </c>
      <c r="F155" s="46" t="s">
        <v>3850</v>
      </c>
      <c r="G155" s="46" t="s">
        <v>3851</v>
      </c>
      <c r="H155" s="46" t="s">
        <v>3852</v>
      </c>
      <c r="I155" s="46" t="s">
        <v>3853</v>
      </c>
      <c r="J155" s="46" t="s">
        <v>3854</v>
      </c>
      <c r="K155" s="46" t="s">
        <v>3855</v>
      </c>
      <c r="L155" s="46" t="s">
        <v>3856</v>
      </c>
    </row>
    <row r="156" spans="2:12">
      <c r="B156" s="46" t="s">
        <v>452</v>
      </c>
      <c r="C156" s="46" t="s">
        <v>3857</v>
      </c>
      <c r="D156" s="46" t="s">
        <v>3858</v>
      </c>
      <c r="E156" s="46" t="s">
        <v>3859</v>
      </c>
      <c r="F156" s="46" t="s">
        <v>3860</v>
      </c>
      <c r="G156" s="46" t="s">
        <v>3861</v>
      </c>
      <c r="H156" s="46" t="s">
        <v>3862</v>
      </c>
      <c r="I156" s="46" t="s">
        <v>3863</v>
      </c>
      <c r="J156" s="46" t="s">
        <v>3864</v>
      </c>
      <c r="K156" s="46" t="s">
        <v>3865</v>
      </c>
      <c r="L156" s="46" t="s">
        <v>3866</v>
      </c>
    </row>
    <row r="157" spans="2:12">
      <c r="B157" s="46" t="s">
        <v>451</v>
      </c>
      <c r="C157" s="46" t="s">
        <v>3867</v>
      </c>
      <c r="D157" s="46" t="s">
        <v>3868</v>
      </c>
      <c r="E157" s="46" t="s">
        <v>3869</v>
      </c>
      <c r="F157" s="46" t="s">
        <v>3870</v>
      </c>
      <c r="G157" s="46" t="s">
        <v>3871</v>
      </c>
      <c r="H157" s="46" t="s">
        <v>3872</v>
      </c>
      <c r="I157" s="46" t="s">
        <v>3873</v>
      </c>
      <c r="J157" s="46" t="s">
        <v>3874</v>
      </c>
      <c r="K157" s="46" t="s">
        <v>3875</v>
      </c>
      <c r="L157" s="46" t="s">
        <v>3876</v>
      </c>
    </row>
    <row r="158" spans="2:12">
      <c r="B158" s="46" t="s">
        <v>450</v>
      </c>
      <c r="C158" s="46" t="s">
        <v>3877</v>
      </c>
      <c r="D158" s="46" t="s">
        <v>3878</v>
      </c>
      <c r="E158" s="46" t="s">
        <v>3879</v>
      </c>
      <c r="F158" s="46" t="s">
        <v>3880</v>
      </c>
      <c r="G158" s="46" t="s">
        <v>3881</v>
      </c>
      <c r="H158" s="46" t="s">
        <v>3882</v>
      </c>
      <c r="I158" s="46" t="s">
        <v>3883</v>
      </c>
      <c r="J158" s="46" t="s">
        <v>3884</v>
      </c>
      <c r="K158" s="46" t="s">
        <v>3885</v>
      </c>
      <c r="L158" s="46" t="s">
        <v>3886</v>
      </c>
    </row>
    <row r="159" spans="2:12">
      <c r="B159" s="46" t="s">
        <v>449</v>
      </c>
      <c r="C159" s="46" t="s">
        <v>3887</v>
      </c>
      <c r="D159" s="46" t="s">
        <v>3888</v>
      </c>
      <c r="E159" s="46" t="s">
        <v>3889</v>
      </c>
      <c r="F159" s="46" t="s">
        <v>3890</v>
      </c>
      <c r="G159" s="46" t="s">
        <v>3891</v>
      </c>
      <c r="H159" s="46" t="s">
        <v>3892</v>
      </c>
      <c r="I159" s="46" t="s">
        <v>3893</v>
      </c>
      <c r="J159" s="46" t="s">
        <v>3894</v>
      </c>
      <c r="K159" s="46" t="s">
        <v>3895</v>
      </c>
      <c r="L159" s="46" t="s">
        <v>3896</v>
      </c>
    </row>
    <row r="160" spans="2:12">
      <c r="B160" s="46" t="s">
        <v>448</v>
      </c>
      <c r="C160" s="46" t="s">
        <v>3897</v>
      </c>
      <c r="D160" s="46" t="s">
        <v>3898</v>
      </c>
      <c r="E160" s="46" t="s">
        <v>3899</v>
      </c>
      <c r="F160" s="46" t="s">
        <v>3900</v>
      </c>
      <c r="G160" s="46" t="s">
        <v>3901</v>
      </c>
      <c r="H160" s="46" t="s">
        <v>3902</v>
      </c>
      <c r="I160" s="46" t="s">
        <v>3903</v>
      </c>
      <c r="J160" s="46" t="s">
        <v>3904</v>
      </c>
      <c r="K160" s="46" t="s">
        <v>3905</v>
      </c>
      <c r="L160" s="46" t="s">
        <v>3906</v>
      </c>
    </row>
    <row r="161" spans="2:12">
      <c r="B161" s="46" t="s">
        <v>447</v>
      </c>
      <c r="C161" s="46" t="s">
        <v>3907</v>
      </c>
      <c r="D161" s="46" t="s">
        <v>3908</v>
      </c>
      <c r="E161" s="46" t="s">
        <v>3909</v>
      </c>
      <c r="F161" s="46" t="s">
        <v>3910</v>
      </c>
      <c r="G161" s="46" t="s">
        <v>3911</v>
      </c>
      <c r="H161" s="46" t="s">
        <v>3912</v>
      </c>
      <c r="I161" s="46" t="s">
        <v>3913</v>
      </c>
      <c r="J161" s="46" t="s">
        <v>3914</v>
      </c>
      <c r="K161" s="46" t="s">
        <v>3915</v>
      </c>
      <c r="L161" s="46" t="s">
        <v>3916</v>
      </c>
    </row>
    <row r="162" spans="2:12">
      <c r="B162" s="46" t="s">
        <v>446</v>
      </c>
      <c r="C162" s="46" t="s">
        <v>3917</v>
      </c>
      <c r="D162" s="46" t="s">
        <v>3918</v>
      </c>
      <c r="E162" s="46" t="s">
        <v>3919</v>
      </c>
      <c r="F162" s="46" t="s">
        <v>3920</v>
      </c>
      <c r="G162" s="46" t="s">
        <v>3921</v>
      </c>
      <c r="H162" s="46" t="s">
        <v>3922</v>
      </c>
      <c r="I162" s="46" t="s">
        <v>3923</v>
      </c>
      <c r="J162" s="46" t="s">
        <v>3924</v>
      </c>
      <c r="K162" s="46" t="s">
        <v>3925</v>
      </c>
      <c r="L162" s="46" t="s">
        <v>3926</v>
      </c>
    </row>
    <row r="163" spans="2:12">
      <c r="B163" s="46" t="s">
        <v>445</v>
      </c>
      <c r="C163" s="46" t="s">
        <v>3927</v>
      </c>
      <c r="D163" s="46" t="s">
        <v>3928</v>
      </c>
      <c r="E163" s="46" t="s">
        <v>3929</v>
      </c>
      <c r="F163" s="46" t="s">
        <v>3930</v>
      </c>
      <c r="G163" s="46" t="s">
        <v>3931</v>
      </c>
      <c r="H163" s="46" t="s">
        <v>3932</v>
      </c>
      <c r="I163" s="46" t="s">
        <v>3933</v>
      </c>
      <c r="J163" s="46" t="s">
        <v>3934</v>
      </c>
      <c r="K163" s="46" t="s">
        <v>3935</v>
      </c>
      <c r="L163" s="46" t="s">
        <v>3936</v>
      </c>
    </row>
    <row r="164" spans="2:12">
      <c r="B164" s="46" t="s">
        <v>444</v>
      </c>
      <c r="C164" s="46" t="s">
        <v>3937</v>
      </c>
      <c r="D164" s="46" t="s">
        <v>3938</v>
      </c>
      <c r="E164" s="46" t="s">
        <v>3939</v>
      </c>
      <c r="F164" s="46" t="s">
        <v>3940</v>
      </c>
      <c r="G164" s="46" t="s">
        <v>3941</v>
      </c>
      <c r="H164" s="46" t="s">
        <v>3942</v>
      </c>
      <c r="I164" s="46" t="s">
        <v>3943</v>
      </c>
      <c r="J164" s="46" t="s">
        <v>3944</v>
      </c>
      <c r="K164" s="46" t="s">
        <v>3945</v>
      </c>
      <c r="L164" s="46" t="s">
        <v>3946</v>
      </c>
    </row>
    <row r="165" spans="2:12">
      <c r="B165" s="46" t="s">
        <v>443</v>
      </c>
      <c r="C165" s="46" t="s">
        <v>3947</v>
      </c>
      <c r="D165" s="46" t="s">
        <v>3948</v>
      </c>
      <c r="E165" s="46" t="s">
        <v>3949</v>
      </c>
      <c r="F165" s="46" t="s">
        <v>3950</v>
      </c>
      <c r="G165" s="46" t="s">
        <v>3951</v>
      </c>
      <c r="H165" s="46" t="s">
        <v>3952</v>
      </c>
      <c r="I165" s="46" t="s">
        <v>3953</v>
      </c>
      <c r="J165" s="46" t="s">
        <v>3954</v>
      </c>
      <c r="K165" s="46" t="s">
        <v>3955</v>
      </c>
      <c r="L165" s="46" t="s">
        <v>3956</v>
      </c>
    </row>
    <row r="166" spans="2:12">
      <c r="B166" s="46" t="s">
        <v>442</v>
      </c>
      <c r="C166" s="46" t="s">
        <v>3957</v>
      </c>
      <c r="D166" s="46" t="s">
        <v>3958</v>
      </c>
      <c r="E166" s="46" t="s">
        <v>3959</v>
      </c>
      <c r="F166" s="46" t="s">
        <v>3960</v>
      </c>
      <c r="G166" s="46" t="s">
        <v>3961</v>
      </c>
      <c r="H166" s="46" t="s">
        <v>3962</v>
      </c>
      <c r="I166" s="46" t="s">
        <v>3963</v>
      </c>
      <c r="J166" s="46" t="s">
        <v>3964</v>
      </c>
      <c r="K166" s="46" t="s">
        <v>3965</v>
      </c>
      <c r="L166" s="46" t="s">
        <v>3966</v>
      </c>
    </row>
    <row r="167" spans="2:12">
      <c r="B167" s="46" t="s">
        <v>441</v>
      </c>
      <c r="C167" s="46" t="s">
        <v>3967</v>
      </c>
      <c r="D167" s="46" t="s">
        <v>3968</v>
      </c>
      <c r="E167" s="46" t="s">
        <v>3969</v>
      </c>
      <c r="F167" s="46" t="s">
        <v>3970</v>
      </c>
      <c r="G167" s="46" t="s">
        <v>3971</v>
      </c>
      <c r="H167" s="46" t="s">
        <v>3972</v>
      </c>
      <c r="I167" s="46" t="s">
        <v>3973</v>
      </c>
      <c r="J167" s="46" t="s">
        <v>3974</v>
      </c>
      <c r="K167" s="46" t="s">
        <v>3975</v>
      </c>
      <c r="L167" s="46" t="s">
        <v>3976</v>
      </c>
    </row>
    <row r="168" spans="2:12">
      <c r="B168" s="46" t="s">
        <v>440</v>
      </c>
      <c r="C168" s="46" t="s">
        <v>3977</v>
      </c>
      <c r="D168" s="46" t="s">
        <v>3978</v>
      </c>
      <c r="E168" s="46" t="s">
        <v>3979</v>
      </c>
      <c r="F168" s="46" t="s">
        <v>3980</v>
      </c>
      <c r="G168" s="46" t="s">
        <v>3981</v>
      </c>
      <c r="H168" s="46" t="s">
        <v>3982</v>
      </c>
      <c r="I168" s="46" t="s">
        <v>3983</v>
      </c>
      <c r="J168" s="46" t="s">
        <v>3984</v>
      </c>
      <c r="K168" s="46" t="s">
        <v>3985</v>
      </c>
      <c r="L168" s="46" t="s">
        <v>3986</v>
      </c>
    </row>
    <row r="169" spans="2:12">
      <c r="B169" s="46" t="s">
        <v>439</v>
      </c>
      <c r="C169" s="46" t="s">
        <v>3987</v>
      </c>
      <c r="D169" s="46" t="s">
        <v>3988</v>
      </c>
      <c r="E169" s="46" t="s">
        <v>3989</v>
      </c>
      <c r="F169" s="46" t="s">
        <v>3990</v>
      </c>
      <c r="G169" s="46" t="s">
        <v>3991</v>
      </c>
      <c r="H169" s="46" t="s">
        <v>3992</v>
      </c>
      <c r="I169" s="46" t="s">
        <v>3993</v>
      </c>
      <c r="J169" s="46" t="s">
        <v>3994</v>
      </c>
      <c r="K169" s="46" t="s">
        <v>3995</v>
      </c>
      <c r="L169" s="46" t="s">
        <v>3996</v>
      </c>
    </row>
    <row r="170" spans="2:12">
      <c r="B170" s="46" t="s">
        <v>438</v>
      </c>
      <c r="C170" s="46" t="s">
        <v>3997</v>
      </c>
      <c r="D170" s="46" t="s">
        <v>3998</v>
      </c>
      <c r="E170" s="46" t="s">
        <v>3999</v>
      </c>
      <c r="F170" s="46" t="s">
        <v>4000</v>
      </c>
      <c r="G170" s="46" t="s">
        <v>4001</v>
      </c>
      <c r="H170" s="46" t="s">
        <v>4002</v>
      </c>
      <c r="I170" s="46" t="s">
        <v>4003</v>
      </c>
      <c r="J170" s="46" t="s">
        <v>4004</v>
      </c>
      <c r="K170" s="46" t="s">
        <v>4005</v>
      </c>
      <c r="L170" s="46" t="s">
        <v>4006</v>
      </c>
    </row>
    <row r="171" spans="2:12">
      <c r="B171" s="46" t="s">
        <v>437</v>
      </c>
      <c r="C171" s="46" t="s">
        <v>4007</v>
      </c>
      <c r="D171" s="46" t="s">
        <v>4008</v>
      </c>
      <c r="E171" s="46" t="s">
        <v>4009</v>
      </c>
      <c r="F171" s="46" t="s">
        <v>4010</v>
      </c>
      <c r="G171" s="46" t="s">
        <v>4011</v>
      </c>
      <c r="H171" s="46" t="s">
        <v>4012</v>
      </c>
      <c r="I171" s="46" t="s">
        <v>4013</v>
      </c>
      <c r="J171" s="46" t="s">
        <v>4014</v>
      </c>
      <c r="K171" s="46" t="s">
        <v>4015</v>
      </c>
      <c r="L171" s="46" t="s">
        <v>4016</v>
      </c>
    </row>
    <row r="172" spans="2:12">
      <c r="B172" s="46" t="s">
        <v>436</v>
      </c>
      <c r="C172" s="46" t="s">
        <v>4017</v>
      </c>
      <c r="D172" s="46" t="s">
        <v>4018</v>
      </c>
      <c r="E172" s="46" t="s">
        <v>4019</v>
      </c>
      <c r="F172" s="46" t="s">
        <v>4020</v>
      </c>
      <c r="G172" s="46" t="s">
        <v>4021</v>
      </c>
      <c r="H172" s="46" t="s">
        <v>4022</v>
      </c>
      <c r="I172" s="46" t="s">
        <v>4023</v>
      </c>
      <c r="J172" s="46" t="s">
        <v>4024</v>
      </c>
      <c r="K172" s="46" t="s">
        <v>4025</v>
      </c>
      <c r="L172" s="46" t="s">
        <v>4026</v>
      </c>
    </row>
    <row r="173" spans="2:12">
      <c r="B173" s="46" t="s">
        <v>435</v>
      </c>
      <c r="C173" s="46" t="s">
        <v>4027</v>
      </c>
      <c r="D173" s="46" t="s">
        <v>4028</v>
      </c>
      <c r="E173" s="46" t="s">
        <v>4029</v>
      </c>
      <c r="F173" s="46" t="s">
        <v>4030</v>
      </c>
      <c r="G173" s="46" t="s">
        <v>4031</v>
      </c>
      <c r="H173" s="46" t="s">
        <v>4032</v>
      </c>
      <c r="I173" s="46" t="s">
        <v>4033</v>
      </c>
      <c r="J173" s="46" t="s">
        <v>4034</v>
      </c>
      <c r="K173" s="46" t="s">
        <v>4035</v>
      </c>
      <c r="L173" s="46" t="s">
        <v>4036</v>
      </c>
    </row>
    <row r="174" spans="2:12">
      <c r="B174" s="46" t="s">
        <v>434</v>
      </c>
      <c r="C174" s="46" t="s">
        <v>4037</v>
      </c>
      <c r="D174" s="46" t="s">
        <v>4038</v>
      </c>
      <c r="E174" s="46" t="s">
        <v>4039</v>
      </c>
      <c r="F174" s="46" t="s">
        <v>4040</v>
      </c>
      <c r="G174" s="46" t="s">
        <v>4041</v>
      </c>
      <c r="H174" s="46" t="s">
        <v>4042</v>
      </c>
      <c r="I174" s="46" t="s">
        <v>4043</v>
      </c>
      <c r="J174" s="46" t="s">
        <v>4044</v>
      </c>
      <c r="K174" s="46" t="s">
        <v>4045</v>
      </c>
      <c r="L174" s="46" t="s">
        <v>4046</v>
      </c>
    </row>
    <row r="175" spans="2:12">
      <c r="B175" s="46" t="s">
        <v>433</v>
      </c>
      <c r="C175" s="46" t="s">
        <v>4047</v>
      </c>
      <c r="D175" s="46" t="s">
        <v>4048</v>
      </c>
      <c r="E175" s="46" t="s">
        <v>4049</v>
      </c>
      <c r="F175" s="46" t="s">
        <v>4050</v>
      </c>
      <c r="G175" s="46" t="s">
        <v>4051</v>
      </c>
      <c r="H175" s="46" t="s">
        <v>4052</v>
      </c>
      <c r="I175" s="46" t="s">
        <v>4053</v>
      </c>
      <c r="J175" s="46" t="s">
        <v>4054</v>
      </c>
      <c r="K175" s="46" t="s">
        <v>4055</v>
      </c>
      <c r="L175" s="46" t="s">
        <v>4056</v>
      </c>
    </row>
    <row r="176" spans="2:12">
      <c r="B176" s="46" t="s">
        <v>432</v>
      </c>
      <c r="C176" s="46" t="s">
        <v>4057</v>
      </c>
      <c r="D176" s="46" t="s">
        <v>4058</v>
      </c>
      <c r="E176" s="46" t="s">
        <v>4059</v>
      </c>
      <c r="F176" s="46" t="s">
        <v>4060</v>
      </c>
      <c r="G176" s="46" t="s">
        <v>4061</v>
      </c>
      <c r="H176" s="46" t="s">
        <v>4062</v>
      </c>
      <c r="I176" s="46" t="s">
        <v>4063</v>
      </c>
      <c r="J176" s="46" t="s">
        <v>4064</v>
      </c>
      <c r="K176" s="46" t="s">
        <v>4065</v>
      </c>
      <c r="L176" s="46" t="s">
        <v>4066</v>
      </c>
    </row>
    <row r="177" spans="2:12">
      <c r="B177" s="46" t="s">
        <v>431</v>
      </c>
      <c r="C177" s="46" t="s">
        <v>4067</v>
      </c>
      <c r="D177" s="46" t="s">
        <v>4068</v>
      </c>
      <c r="E177" s="46" t="s">
        <v>4069</v>
      </c>
      <c r="F177" s="46" t="s">
        <v>4070</v>
      </c>
      <c r="G177" s="46" t="s">
        <v>4071</v>
      </c>
      <c r="H177" s="46" t="s">
        <v>4072</v>
      </c>
      <c r="I177" s="46" t="s">
        <v>4073</v>
      </c>
      <c r="J177" s="46" t="s">
        <v>4074</v>
      </c>
      <c r="K177" s="46" t="s">
        <v>4075</v>
      </c>
      <c r="L177" s="46" t="s">
        <v>4076</v>
      </c>
    </row>
    <row r="178" spans="2:12">
      <c r="B178" s="46" t="s">
        <v>430</v>
      </c>
      <c r="C178" s="46" t="s">
        <v>4077</v>
      </c>
      <c r="D178" s="46" t="s">
        <v>4078</v>
      </c>
      <c r="E178" s="46" t="s">
        <v>4079</v>
      </c>
      <c r="F178" s="46" t="s">
        <v>4080</v>
      </c>
      <c r="G178" s="46" t="s">
        <v>4081</v>
      </c>
      <c r="H178" s="46" t="s">
        <v>4082</v>
      </c>
      <c r="I178" s="46" t="s">
        <v>4083</v>
      </c>
      <c r="J178" s="46" t="s">
        <v>4084</v>
      </c>
      <c r="K178" s="46" t="s">
        <v>4085</v>
      </c>
      <c r="L178" s="46" t="s">
        <v>4086</v>
      </c>
    </row>
    <row r="179" spans="2:12">
      <c r="B179" s="46" t="s">
        <v>429</v>
      </c>
      <c r="C179" s="46" t="s">
        <v>4087</v>
      </c>
      <c r="D179" s="46" t="s">
        <v>4088</v>
      </c>
      <c r="E179" s="46" t="s">
        <v>4089</v>
      </c>
      <c r="F179" s="46" t="s">
        <v>4090</v>
      </c>
      <c r="G179" s="46" t="s">
        <v>4091</v>
      </c>
      <c r="H179" s="46" t="s">
        <v>4092</v>
      </c>
      <c r="I179" s="46" t="s">
        <v>4093</v>
      </c>
      <c r="J179" s="46" t="s">
        <v>4094</v>
      </c>
      <c r="K179" s="46" t="s">
        <v>4095</v>
      </c>
      <c r="L179" s="46" t="s">
        <v>4096</v>
      </c>
    </row>
    <row r="180" spans="2:12">
      <c r="B180" s="46" t="s">
        <v>428</v>
      </c>
      <c r="C180" s="46" t="s">
        <v>4097</v>
      </c>
      <c r="D180" s="46" t="s">
        <v>4098</v>
      </c>
      <c r="E180" s="46" t="s">
        <v>4099</v>
      </c>
      <c r="F180" s="46" t="s">
        <v>4100</v>
      </c>
      <c r="G180" s="46" t="s">
        <v>4101</v>
      </c>
      <c r="H180" s="46" t="s">
        <v>4102</v>
      </c>
      <c r="I180" s="46" t="s">
        <v>4103</v>
      </c>
      <c r="J180" s="46" t="s">
        <v>4104</v>
      </c>
      <c r="K180" s="46" t="s">
        <v>4105</v>
      </c>
      <c r="L180" s="46" t="s">
        <v>4106</v>
      </c>
    </row>
    <row r="181" spans="2:12">
      <c r="B181" s="46" t="s">
        <v>427</v>
      </c>
      <c r="C181" s="46" t="s">
        <v>4107</v>
      </c>
      <c r="D181" s="46" t="s">
        <v>4108</v>
      </c>
      <c r="E181" s="46" t="s">
        <v>4109</v>
      </c>
      <c r="F181" s="46" t="s">
        <v>4110</v>
      </c>
      <c r="G181" s="46" t="s">
        <v>4111</v>
      </c>
      <c r="H181" s="46" t="s">
        <v>4112</v>
      </c>
      <c r="I181" s="46" t="s">
        <v>4113</v>
      </c>
      <c r="J181" s="46" t="s">
        <v>4114</v>
      </c>
      <c r="K181" s="46" t="s">
        <v>4115</v>
      </c>
      <c r="L181" s="46" t="s">
        <v>4116</v>
      </c>
    </row>
    <row r="182" spans="2:12">
      <c r="B182" s="46" t="s">
        <v>426</v>
      </c>
      <c r="C182" s="46" t="s">
        <v>4117</v>
      </c>
      <c r="D182" s="46" t="s">
        <v>4118</v>
      </c>
      <c r="E182" s="46" t="s">
        <v>4119</v>
      </c>
      <c r="F182" s="46" t="s">
        <v>4120</v>
      </c>
      <c r="G182" s="46" t="s">
        <v>4121</v>
      </c>
      <c r="H182" s="46" t="s">
        <v>4122</v>
      </c>
      <c r="I182" s="46" t="s">
        <v>4123</v>
      </c>
      <c r="J182" s="46" t="s">
        <v>4124</v>
      </c>
      <c r="K182" s="46" t="s">
        <v>4125</v>
      </c>
      <c r="L182" s="46" t="s">
        <v>4126</v>
      </c>
    </row>
    <row r="183" spans="2:12">
      <c r="B183" s="46" t="s">
        <v>425</v>
      </c>
      <c r="C183" s="46" t="s">
        <v>4127</v>
      </c>
      <c r="D183" s="46" t="s">
        <v>4128</v>
      </c>
      <c r="E183" s="46" t="s">
        <v>4129</v>
      </c>
      <c r="F183" s="46" t="s">
        <v>4130</v>
      </c>
      <c r="G183" s="46" t="s">
        <v>4131</v>
      </c>
      <c r="H183" s="46" t="s">
        <v>4132</v>
      </c>
      <c r="I183" s="46" t="s">
        <v>4133</v>
      </c>
      <c r="J183" s="46" t="s">
        <v>4134</v>
      </c>
      <c r="K183" s="46" t="s">
        <v>4135</v>
      </c>
      <c r="L183" s="46" t="s">
        <v>4136</v>
      </c>
    </row>
    <row r="184" spans="2:12">
      <c r="B184" s="46" t="s">
        <v>424</v>
      </c>
      <c r="C184" s="46" t="s">
        <v>4137</v>
      </c>
      <c r="D184" s="46" t="s">
        <v>4138</v>
      </c>
      <c r="E184" s="46" t="s">
        <v>4139</v>
      </c>
      <c r="F184" s="46" t="s">
        <v>4140</v>
      </c>
      <c r="G184" s="46" t="s">
        <v>4141</v>
      </c>
      <c r="H184" s="46" t="s">
        <v>4142</v>
      </c>
      <c r="I184" s="46" t="s">
        <v>4143</v>
      </c>
      <c r="J184" s="46" t="s">
        <v>4144</v>
      </c>
      <c r="K184" s="46" t="s">
        <v>4145</v>
      </c>
      <c r="L184" s="46" t="s">
        <v>4146</v>
      </c>
    </row>
    <row r="185" spans="2:12">
      <c r="B185" s="46" t="s">
        <v>423</v>
      </c>
      <c r="C185" s="46" t="s">
        <v>4147</v>
      </c>
      <c r="D185" s="46" t="s">
        <v>4148</v>
      </c>
      <c r="E185" s="46" t="s">
        <v>4149</v>
      </c>
      <c r="F185" s="46" t="s">
        <v>4150</v>
      </c>
      <c r="G185" s="46" t="s">
        <v>4151</v>
      </c>
      <c r="H185" s="46" t="s">
        <v>4152</v>
      </c>
      <c r="I185" s="46" t="s">
        <v>4153</v>
      </c>
      <c r="J185" s="46" t="s">
        <v>4154</v>
      </c>
      <c r="K185" s="46" t="s">
        <v>4155</v>
      </c>
      <c r="L185" s="46" t="s">
        <v>4156</v>
      </c>
    </row>
    <row r="186" spans="2:12">
      <c r="B186" s="46" t="s">
        <v>422</v>
      </c>
      <c r="C186" s="46" t="s">
        <v>4157</v>
      </c>
      <c r="D186" s="46" t="s">
        <v>4158</v>
      </c>
      <c r="E186" s="46" t="s">
        <v>4159</v>
      </c>
      <c r="F186" s="46" t="s">
        <v>4160</v>
      </c>
      <c r="G186" s="46" t="s">
        <v>4161</v>
      </c>
      <c r="H186" s="46" t="s">
        <v>4162</v>
      </c>
      <c r="I186" s="46" t="s">
        <v>4163</v>
      </c>
      <c r="J186" s="46" t="s">
        <v>4164</v>
      </c>
      <c r="K186" s="46" t="s">
        <v>4165</v>
      </c>
      <c r="L186" s="46" t="s">
        <v>4166</v>
      </c>
    </row>
    <row r="187" spans="2:12">
      <c r="B187" s="46" t="s">
        <v>421</v>
      </c>
      <c r="C187" s="46" t="s">
        <v>4167</v>
      </c>
      <c r="D187" s="46" t="s">
        <v>4168</v>
      </c>
      <c r="E187" s="46" t="s">
        <v>4169</v>
      </c>
      <c r="F187" s="46" t="s">
        <v>4170</v>
      </c>
      <c r="G187" s="46" t="s">
        <v>4171</v>
      </c>
      <c r="H187" s="46" t="s">
        <v>4172</v>
      </c>
      <c r="I187" s="46" t="s">
        <v>4173</v>
      </c>
      <c r="J187" s="46" t="s">
        <v>4174</v>
      </c>
      <c r="K187" s="46" t="s">
        <v>4175</v>
      </c>
      <c r="L187" s="46" t="s">
        <v>4176</v>
      </c>
    </row>
    <row r="188" spans="2:12">
      <c r="B188" s="46" t="s">
        <v>420</v>
      </c>
      <c r="C188" s="46" t="s">
        <v>4177</v>
      </c>
      <c r="D188" s="46" t="s">
        <v>4178</v>
      </c>
      <c r="E188" s="46" t="s">
        <v>4179</v>
      </c>
      <c r="F188" s="46" t="s">
        <v>4180</v>
      </c>
      <c r="G188" s="46" t="s">
        <v>4181</v>
      </c>
      <c r="H188" s="46" t="s">
        <v>4182</v>
      </c>
      <c r="I188" s="46" t="s">
        <v>4183</v>
      </c>
      <c r="J188" s="46" t="s">
        <v>4184</v>
      </c>
      <c r="K188" s="46" t="s">
        <v>4185</v>
      </c>
      <c r="L188" s="46" t="s">
        <v>4186</v>
      </c>
    </row>
    <row r="189" spans="2:12">
      <c r="B189" s="46" t="s">
        <v>419</v>
      </c>
      <c r="C189" s="46" t="s">
        <v>4187</v>
      </c>
      <c r="D189" s="46" t="s">
        <v>4188</v>
      </c>
      <c r="E189" s="46" t="s">
        <v>4189</v>
      </c>
      <c r="F189" s="46" t="s">
        <v>4190</v>
      </c>
      <c r="G189" s="46" t="s">
        <v>4191</v>
      </c>
      <c r="H189" s="46" t="s">
        <v>4192</v>
      </c>
      <c r="I189" s="46" t="s">
        <v>4193</v>
      </c>
      <c r="J189" s="46" t="s">
        <v>4194</v>
      </c>
      <c r="K189" s="46" t="s">
        <v>4195</v>
      </c>
      <c r="L189" s="46" t="s">
        <v>4196</v>
      </c>
    </row>
    <row r="190" spans="2:12">
      <c r="B190" s="46" t="s">
        <v>418</v>
      </c>
      <c r="C190" s="46" t="s">
        <v>4197</v>
      </c>
      <c r="D190" s="46" t="s">
        <v>4198</v>
      </c>
      <c r="E190" s="46" t="s">
        <v>4199</v>
      </c>
      <c r="F190" s="46" t="s">
        <v>4200</v>
      </c>
      <c r="G190" s="46" t="s">
        <v>4201</v>
      </c>
      <c r="H190" s="46" t="s">
        <v>4202</v>
      </c>
      <c r="I190" s="46" t="s">
        <v>4203</v>
      </c>
      <c r="J190" s="46" t="s">
        <v>4204</v>
      </c>
      <c r="K190" s="46" t="s">
        <v>4205</v>
      </c>
      <c r="L190" s="46" t="s">
        <v>4206</v>
      </c>
    </row>
    <row r="191" spans="2:12">
      <c r="B191" s="46" t="s">
        <v>417</v>
      </c>
      <c r="C191" s="46" t="s">
        <v>4207</v>
      </c>
      <c r="D191" s="46" t="s">
        <v>4208</v>
      </c>
      <c r="E191" s="46" t="s">
        <v>4209</v>
      </c>
      <c r="F191" s="46" t="s">
        <v>4210</v>
      </c>
      <c r="G191" s="46" t="s">
        <v>4211</v>
      </c>
      <c r="H191" s="46" t="s">
        <v>4212</v>
      </c>
      <c r="I191" s="46" t="s">
        <v>4213</v>
      </c>
      <c r="J191" s="46" t="s">
        <v>4214</v>
      </c>
      <c r="K191" s="46" t="s">
        <v>4215</v>
      </c>
      <c r="L191" s="46" t="s">
        <v>4216</v>
      </c>
    </row>
    <row r="192" spans="2:12">
      <c r="B192" s="46" t="s">
        <v>416</v>
      </c>
      <c r="C192" s="46" t="s">
        <v>4217</v>
      </c>
      <c r="D192" s="46" t="s">
        <v>4218</v>
      </c>
      <c r="E192" s="46" t="s">
        <v>4219</v>
      </c>
      <c r="F192" s="46" t="s">
        <v>4220</v>
      </c>
      <c r="G192" s="46" t="s">
        <v>4221</v>
      </c>
      <c r="H192" s="46" t="s">
        <v>4222</v>
      </c>
      <c r="I192" s="46" t="s">
        <v>4223</v>
      </c>
      <c r="J192" s="46" t="s">
        <v>4224</v>
      </c>
      <c r="K192" s="46" t="s">
        <v>4225</v>
      </c>
      <c r="L192" s="46" t="s">
        <v>4226</v>
      </c>
    </row>
    <row r="193" spans="2:12">
      <c r="B193" s="46" t="s">
        <v>415</v>
      </c>
      <c r="C193" s="46" t="s">
        <v>4227</v>
      </c>
      <c r="D193" s="46" t="s">
        <v>4228</v>
      </c>
      <c r="E193" s="46" t="s">
        <v>4229</v>
      </c>
      <c r="F193" s="46" t="s">
        <v>4230</v>
      </c>
      <c r="G193" s="46" t="s">
        <v>4231</v>
      </c>
      <c r="H193" s="46" t="s">
        <v>4232</v>
      </c>
      <c r="I193" s="46" t="s">
        <v>4233</v>
      </c>
      <c r="J193" s="46" t="s">
        <v>4234</v>
      </c>
      <c r="K193" s="46" t="s">
        <v>4235</v>
      </c>
      <c r="L193" s="46" t="s">
        <v>4236</v>
      </c>
    </row>
    <row r="194" spans="2:12">
      <c r="B194" s="46" t="s">
        <v>414</v>
      </c>
      <c r="C194" s="46" t="s">
        <v>4237</v>
      </c>
      <c r="D194" s="46" t="s">
        <v>4238</v>
      </c>
      <c r="E194" s="46" t="s">
        <v>4239</v>
      </c>
      <c r="F194" s="46" t="s">
        <v>4240</v>
      </c>
      <c r="G194" s="46" t="s">
        <v>4241</v>
      </c>
      <c r="H194" s="46" t="s">
        <v>4242</v>
      </c>
      <c r="I194" s="46" t="s">
        <v>4243</v>
      </c>
      <c r="J194" s="46" t="s">
        <v>4244</v>
      </c>
      <c r="K194" s="46" t="s">
        <v>4245</v>
      </c>
      <c r="L194" s="46" t="s">
        <v>4246</v>
      </c>
    </row>
    <row r="195" spans="2:12">
      <c r="B195" s="46" t="s">
        <v>413</v>
      </c>
      <c r="C195" s="46" t="s">
        <v>4247</v>
      </c>
      <c r="D195" s="46" t="s">
        <v>4248</v>
      </c>
      <c r="E195" s="46" t="s">
        <v>4249</v>
      </c>
      <c r="F195" s="46" t="s">
        <v>4250</v>
      </c>
      <c r="G195" s="46" t="s">
        <v>4251</v>
      </c>
      <c r="H195" s="46" t="s">
        <v>4252</v>
      </c>
      <c r="I195" s="46" t="s">
        <v>4253</v>
      </c>
      <c r="J195" s="46" t="s">
        <v>4254</v>
      </c>
      <c r="K195" s="46" t="s">
        <v>4255</v>
      </c>
      <c r="L195" s="46" t="s">
        <v>4256</v>
      </c>
    </row>
    <row r="196" spans="2:12">
      <c r="B196" s="46" t="s">
        <v>412</v>
      </c>
      <c r="C196" s="46" t="s">
        <v>4257</v>
      </c>
      <c r="D196" s="46" t="s">
        <v>4258</v>
      </c>
      <c r="E196" s="46" t="s">
        <v>4259</v>
      </c>
      <c r="F196" s="46" t="s">
        <v>4260</v>
      </c>
      <c r="G196" s="46" t="s">
        <v>4261</v>
      </c>
      <c r="H196" s="46" t="s">
        <v>4262</v>
      </c>
      <c r="I196" s="46" t="s">
        <v>4263</v>
      </c>
      <c r="J196" s="46" t="s">
        <v>4264</v>
      </c>
      <c r="K196" s="46" t="s">
        <v>4265</v>
      </c>
      <c r="L196" s="46" t="s">
        <v>4266</v>
      </c>
    </row>
    <row r="197" spans="2:12">
      <c r="B197" s="46" t="s">
        <v>411</v>
      </c>
      <c r="C197" s="46" t="s">
        <v>4267</v>
      </c>
      <c r="D197" s="46" t="s">
        <v>4268</v>
      </c>
      <c r="E197" s="46" t="s">
        <v>4269</v>
      </c>
      <c r="F197" s="46" t="s">
        <v>4270</v>
      </c>
      <c r="G197" s="46" t="s">
        <v>4271</v>
      </c>
      <c r="H197" s="46" t="s">
        <v>4272</v>
      </c>
      <c r="I197" s="46" t="s">
        <v>4273</v>
      </c>
      <c r="J197" s="46" t="s">
        <v>4274</v>
      </c>
      <c r="K197" s="46" t="s">
        <v>4275</v>
      </c>
      <c r="L197" s="46" t="s">
        <v>4276</v>
      </c>
    </row>
    <row r="198" spans="2:12">
      <c r="B198" s="46" t="s">
        <v>410</v>
      </c>
      <c r="C198" s="46" t="s">
        <v>4277</v>
      </c>
      <c r="D198" s="46" t="s">
        <v>4278</v>
      </c>
      <c r="E198" s="46" t="s">
        <v>4279</v>
      </c>
      <c r="F198" s="46" t="s">
        <v>4280</v>
      </c>
      <c r="G198" s="46" t="s">
        <v>4281</v>
      </c>
      <c r="H198" s="46" t="s">
        <v>4282</v>
      </c>
      <c r="I198" s="46" t="s">
        <v>4283</v>
      </c>
      <c r="J198" s="46" t="s">
        <v>4284</v>
      </c>
      <c r="K198" s="46" t="s">
        <v>4285</v>
      </c>
      <c r="L198" s="46" t="s">
        <v>4286</v>
      </c>
    </row>
    <row r="199" spans="2:12">
      <c r="B199" s="46" t="s">
        <v>409</v>
      </c>
      <c r="C199" s="46" t="s">
        <v>4287</v>
      </c>
      <c r="D199" s="46" t="s">
        <v>4288</v>
      </c>
      <c r="E199" s="46" t="s">
        <v>4289</v>
      </c>
      <c r="F199" s="46" t="s">
        <v>4290</v>
      </c>
      <c r="G199" s="46" t="s">
        <v>4291</v>
      </c>
      <c r="H199" s="46" t="s">
        <v>4292</v>
      </c>
      <c r="I199" s="46" t="s">
        <v>4293</v>
      </c>
      <c r="J199" s="46" t="s">
        <v>4294</v>
      </c>
      <c r="K199" s="46" t="s">
        <v>4295</v>
      </c>
      <c r="L199" s="46" t="s">
        <v>4296</v>
      </c>
    </row>
    <row r="200" spans="2:12">
      <c r="B200" s="46" t="s">
        <v>408</v>
      </c>
      <c r="C200" s="46" t="s">
        <v>4297</v>
      </c>
      <c r="D200" s="46" t="s">
        <v>4298</v>
      </c>
      <c r="E200" s="46" t="s">
        <v>4299</v>
      </c>
      <c r="F200" s="46" t="s">
        <v>4300</v>
      </c>
      <c r="G200" s="46" t="s">
        <v>4301</v>
      </c>
      <c r="H200" s="46" t="s">
        <v>4302</v>
      </c>
      <c r="I200" s="46" t="s">
        <v>4303</v>
      </c>
      <c r="J200" s="46" t="s">
        <v>4304</v>
      </c>
      <c r="K200" s="46" t="s">
        <v>4305</v>
      </c>
      <c r="L200" s="46" t="s">
        <v>4306</v>
      </c>
    </row>
    <row r="201" spans="2:12">
      <c r="B201" s="46" t="s">
        <v>407</v>
      </c>
      <c r="C201" s="46" t="s">
        <v>4307</v>
      </c>
      <c r="D201" s="46" t="s">
        <v>4308</v>
      </c>
      <c r="E201" s="46" t="s">
        <v>4309</v>
      </c>
      <c r="F201" s="46" t="s">
        <v>4310</v>
      </c>
      <c r="G201" s="46" t="s">
        <v>4311</v>
      </c>
      <c r="H201" s="46" t="s">
        <v>4312</v>
      </c>
      <c r="I201" s="46" t="s">
        <v>4313</v>
      </c>
      <c r="J201" s="46" t="s">
        <v>4314</v>
      </c>
      <c r="K201" s="46" t="s">
        <v>4315</v>
      </c>
      <c r="L201" s="46" t="s">
        <v>4316</v>
      </c>
    </row>
    <row r="202" spans="2:12">
      <c r="B202" s="46" t="s">
        <v>406</v>
      </c>
      <c r="C202" s="46" t="s">
        <v>4317</v>
      </c>
      <c r="D202" s="46" t="s">
        <v>4318</v>
      </c>
      <c r="E202" s="46" t="s">
        <v>4319</v>
      </c>
      <c r="F202" s="46" t="s">
        <v>4320</v>
      </c>
      <c r="G202" s="46" t="s">
        <v>4321</v>
      </c>
      <c r="H202" s="46" t="s">
        <v>4322</v>
      </c>
      <c r="I202" s="46" t="s">
        <v>4323</v>
      </c>
      <c r="J202" s="46" t="s">
        <v>4324</v>
      </c>
      <c r="K202" s="46" t="s">
        <v>4325</v>
      </c>
      <c r="L202" s="46" t="s">
        <v>4326</v>
      </c>
    </row>
    <row r="203" spans="2:12">
      <c r="B203" s="46" t="s">
        <v>405</v>
      </c>
      <c r="C203" s="46" t="s">
        <v>4327</v>
      </c>
      <c r="D203" s="46" t="s">
        <v>4328</v>
      </c>
      <c r="E203" s="46" t="s">
        <v>4329</v>
      </c>
      <c r="F203" s="46" t="s">
        <v>4330</v>
      </c>
      <c r="G203" s="46" t="s">
        <v>4331</v>
      </c>
      <c r="H203" s="46" t="s">
        <v>4332</v>
      </c>
      <c r="I203" s="46" t="s">
        <v>4333</v>
      </c>
      <c r="J203" s="46" t="s">
        <v>4334</v>
      </c>
      <c r="K203" s="46" t="s">
        <v>4335</v>
      </c>
      <c r="L203" s="46" t="s">
        <v>4336</v>
      </c>
    </row>
    <row r="204" spans="2:12">
      <c r="B204" s="46" t="s">
        <v>404</v>
      </c>
      <c r="C204" s="46" t="s">
        <v>4337</v>
      </c>
      <c r="D204" s="46" t="s">
        <v>4338</v>
      </c>
      <c r="E204" s="46" t="s">
        <v>4339</v>
      </c>
      <c r="F204" s="46" t="s">
        <v>4340</v>
      </c>
      <c r="G204" s="46" t="s">
        <v>4341</v>
      </c>
      <c r="H204" s="46" t="s">
        <v>4342</v>
      </c>
      <c r="I204" s="46" t="s">
        <v>4343</v>
      </c>
      <c r="J204" s="46" t="s">
        <v>4344</v>
      </c>
      <c r="K204" s="46" t="s">
        <v>4345</v>
      </c>
      <c r="L204" s="46" t="s">
        <v>4346</v>
      </c>
    </row>
    <row r="205" spans="2:12">
      <c r="B205" s="46" t="s">
        <v>403</v>
      </c>
      <c r="C205" s="46" t="s">
        <v>4347</v>
      </c>
      <c r="D205" s="46" t="s">
        <v>4348</v>
      </c>
      <c r="E205" s="46" t="s">
        <v>4349</v>
      </c>
      <c r="F205" s="46" t="s">
        <v>4350</v>
      </c>
      <c r="G205" s="46" t="s">
        <v>4351</v>
      </c>
      <c r="H205" s="46" t="s">
        <v>4352</v>
      </c>
      <c r="I205" s="46" t="s">
        <v>4353</v>
      </c>
      <c r="J205" s="46" t="s">
        <v>4354</v>
      </c>
      <c r="K205" s="46" t="s">
        <v>4355</v>
      </c>
      <c r="L205" s="46" t="s">
        <v>4356</v>
      </c>
    </row>
    <row r="206" spans="2:12">
      <c r="B206" s="46" t="s">
        <v>402</v>
      </c>
      <c r="C206" s="46" t="s">
        <v>4357</v>
      </c>
      <c r="D206" s="46" t="s">
        <v>4358</v>
      </c>
      <c r="E206" s="46" t="s">
        <v>4359</v>
      </c>
      <c r="F206" s="46" t="s">
        <v>4360</v>
      </c>
      <c r="G206" s="46" t="s">
        <v>4361</v>
      </c>
      <c r="H206" s="46" t="s">
        <v>4362</v>
      </c>
      <c r="I206" s="46" t="s">
        <v>4363</v>
      </c>
      <c r="J206" s="46" t="s">
        <v>4364</v>
      </c>
      <c r="K206" s="46" t="s">
        <v>4365</v>
      </c>
      <c r="L206" s="46" t="s">
        <v>4366</v>
      </c>
    </row>
    <row r="207" spans="2:12">
      <c r="B207" s="46" t="s">
        <v>401</v>
      </c>
      <c r="C207" s="46" t="s">
        <v>4367</v>
      </c>
      <c r="D207" s="46" t="s">
        <v>4368</v>
      </c>
      <c r="E207" s="46" t="s">
        <v>4369</v>
      </c>
      <c r="F207" s="46" t="s">
        <v>4370</v>
      </c>
      <c r="G207" s="46" t="s">
        <v>4371</v>
      </c>
      <c r="H207" s="46" t="s">
        <v>4372</v>
      </c>
      <c r="I207" s="46" t="s">
        <v>4373</v>
      </c>
      <c r="J207" s="46" t="s">
        <v>4374</v>
      </c>
      <c r="K207" s="46" t="s">
        <v>4375</v>
      </c>
      <c r="L207" s="46" t="s">
        <v>4376</v>
      </c>
    </row>
    <row r="208" spans="2:12">
      <c r="B208" s="46" t="s">
        <v>400</v>
      </c>
      <c r="C208" s="46" t="s">
        <v>4377</v>
      </c>
      <c r="D208" s="46" t="s">
        <v>4378</v>
      </c>
      <c r="E208" s="46" t="s">
        <v>4379</v>
      </c>
      <c r="F208" s="46" t="s">
        <v>4380</v>
      </c>
      <c r="G208" s="46" t="s">
        <v>4381</v>
      </c>
      <c r="H208" s="46" t="s">
        <v>4382</v>
      </c>
      <c r="I208" s="46" t="s">
        <v>4383</v>
      </c>
      <c r="J208" s="46" t="s">
        <v>4384</v>
      </c>
      <c r="K208" s="46" t="s">
        <v>4385</v>
      </c>
      <c r="L208" s="46" t="s">
        <v>4386</v>
      </c>
    </row>
    <row r="209" spans="2:12">
      <c r="B209" s="46" t="s">
        <v>399</v>
      </c>
      <c r="C209" s="46" t="s">
        <v>4387</v>
      </c>
      <c r="D209" s="46" t="s">
        <v>4388</v>
      </c>
      <c r="E209" s="46" t="s">
        <v>4389</v>
      </c>
      <c r="F209" s="46" t="s">
        <v>4390</v>
      </c>
      <c r="G209" s="46" t="s">
        <v>4391</v>
      </c>
      <c r="H209" s="46" t="s">
        <v>4392</v>
      </c>
      <c r="I209" s="46" t="s">
        <v>4393</v>
      </c>
      <c r="J209" s="46" t="s">
        <v>4394</v>
      </c>
      <c r="K209" s="46" t="s">
        <v>4395</v>
      </c>
      <c r="L209" s="46" t="s">
        <v>4396</v>
      </c>
    </row>
    <row r="210" spans="2:12">
      <c r="B210" s="46" t="s">
        <v>398</v>
      </c>
      <c r="C210" s="46" t="s">
        <v>4397</v>
      </c>
      <c r="D210" s="46" t="s">
        <v>4398</v>
      </c>
      <c r="E210" s="46" t="s">
        <v>4399</v>
      </c>
      <c r="F210" s="46" t="s">
        <v>4400</v>
      </c>
      <c r="G210" s="46" t="s">
        <v>4401</v>
      </c>
      <c r="H210" s="46" t="s">
        <v>4402</v>
      </c>
      <c r="I210" s="46" t="s">
        <v>4403</v>
      </c>
      <c r="J210" s="46" t="s">
        <v>4404</v>
      </c>
      <c r="K210" s="46" t="s">
        <v>4405</v>
      </c>
      <c r="L210" s="46" t="s">
        <v>4406</v>
      </c>
    </row>
    <row r="211" spans="2:12">
      <c r="B211" s="46" t="s">
        <v>397</v>
      </c>
      <c r="C211" s="46" t="s">
        <v>4407</v>
      </c>
      <c r="D211" s="46" t="s">
        <v>4408</v>
      </c>
      <c r="E211" s="46" t="s">
        <v>4409</v>
      </c>
      <c r="F211" s="46" t="s">
        <v>4410</v>
      </c>
      <c r="G211" s="46" t="s">
        <v>4411</v>
      </c>
      <c r="H211" s="46" t="s">
        <v>4412</v>
      </c>
      <c r="I211" s="46" t="s">
        <v>4413</v>
      </c>
      <c r="J211" s="46" t="s">
        <v>4414</v>
      </c>
      <c r="K211" s="46" t="s">
        <v>4415</v>
      </c>
      <c r="L211" s="46" t="s">
        <v>4416</v>
      </c>
    </row>
    <row r="212" spans="2:12">
      <c r="B212" s="46" t="s">
        <v>396</v>
      </c>
      <c r="C212" s="46" t="s">
        <v>4417</v>
      </c>
      <c r="D212" s="46" t="s">
        <v>4418</v>
      </c>
      <c r="E212" s="46" t="s">
        <v>4419</v>
      </c>
      <c r="F212" s="46" t="s">
        <v>4420</v>
      </c>
      <c r="G212" s="46" t="s">
        <v>4421</v>
      </c>
      <c r="H212" s="46" t="s">
        <v>4422</v>
      </c>
      <c r="I212" s="46" t="s">
        <v>4423</v>
      </c>
      <c r="J212" s="46" t="s">
        <v>4424</v>
      </c>
      <c r="K212" s="46" t="s">
        <v>4425</v>
      </c>
      <c r="L212" s="46" t="s">
        <v>4426</v>
      </c>
    </row>
    <row r="213" spans="2:12">
      <c r="B213" s="46" t="s">
        <v>395</v>
      </c>
      <c r="C213" s="46" t="s">
        <v>4427</v>
      </c>
      <c r="D213" s="46" t="s">
        <v>4428</v>
      </c>
      <c r="E213" s="46" t="s">
        <v>4429</v>
      </c>
      <c r="F213" s="46" t="s">
        <v>4430</v>
      </c>
      <c r="G213" s="46" t="s">
        <v>4431</v>
      </c>
      <c r="H213" s="46" t="s">
        <v>4432</v>
      </c>
      <c r="I213" s="46" t="s">
        <v>4433</v>
      </c>
      <c r="J213" s="46" t="s">
        <v>4434</v>
      </c>
      <c r="K213" s="46" t="s">
        <v>4435</v>
      </c>
      <c r="L213" s="46" t="s">
        <v>4436</v>
      </c>
    </row>
    <row r="214" spans="2:12">
      <c r="B214" s="46" t="s">
        <v>394</v>
      </c>
      <c r="C214" s="46" t="s">
        <v>4437</v>
      </c>
      <c r="D214" s="46" t="s">
        <v>4438</v>
      </c>
      <c r="E214" s="46" t="s">
        <v>4439</v>
      </c>
      <c r="F214" s="46" t="s">
        <v>4440</v>
      </c>
      <c r="G214" s="46" t="s">
        <v>4441</v>
      </c>
      <c r="H214" s="46" t="s">
        <v>4442</v>
      </c>
      <c r="I214" s="46" t="s">
        <v>4443</v>
      </c>
      <c r="J214" s="46" t="s">
        <v>4444</v>
      </c>
      <c r="K214" s="46" t="s">
        <v>4445</v>
      </c>
      <c r="L214" s="46" t="s">
        <v>4446</v>
      </c>
    </row>
    <row r="215" spans="2:12">
      <c r="B215" s="46" t="s">
        <v>393</v>
      </c>
      <c r="C215" s="46" t="s">
        <v>4447</v>
      </c>
      <c r="D215" s="46" t="s">
        <v>4448</v>
      </c>
      <c r="E215" s="46" t="s">
        <v>4449</v>
      </c>
      <c r="F215" s="46" t="s">
        <v>4450</v>
      </c>
      <c r="G215" s="46" t="s">
        <v>4451</v>
      </c>
      <c r="H215" s="46" t="s">
        <v>4452</v>
      </c>
      <c r="I215" s="46" t="s">
        <v>4453</v>
      </c>
      <c r="J215" s="46" t="s">
        <v>4454</v>
      </c>
      <c r="K215" s="46" t="s">
        <v>4455</v>
      </c>
      <c r="L215" s="46" t="s">
        <v>4456</v>
      </c>
    </row>
    <row r="216" spans="2:12">
      <c r="B216" s="46" t="s">
        <v>392</v>
      </c>
      <c r="C216" s="46" t="s">
        <v>4457</v>
      </c>
      <c r="D216" s="46" t="s">
        <v>4458</v>
      </c>
      <c r="E216" s="46" t="s">
        <v>4459</v>
      </c>
      <c r="F216" s="46" t="s">
        <v>4460</v>
      </c>
      <c r="G216" s="46" t="s">
        <v>4461</v>
      </c>
      <c r="H216" s="46" t="s">
        <v>4462</v>
      </c>
      <c r="I216" s="46" t="s">
        <v>4463</v>
      </c>
      <c r="J216" s="46" t="s">
        <v>4464</v>
      </c>
      <c r="K216" s="46" t="s">
        <v>4465</v>
      </c>
      <c r="L216" s="46" t="s">
        <v>4466</v>
      </c>
    </row>
    <row r="217" spans="2:12">
      <c r="B217" s="46" t="s">
        <v>391</v>
      </c>
      <c r="C217" s="46" t="s">
        <v>4467</v>
      </c>
      <c r="D217" s="46" t="s">
        <v>4468</v>
      </c>
      <c r="E217" s="46" t="s">
        <v>4469</v>
      </c>
      <c r="F217" s="46" t="s">
        <v>4470</v>
      </c>
      <c r="G217" s="46" t="s">
        <v>4471</v>
      </c>
      <c r="H217" s="46" t="s">
        <v>4472</v>
      </c>
      <c r="I217" s="46" t="s">
        <v>4473</v>
      </c>
      <c r="J217" s="46" t="s">
        <v>4474</v>
      </c>
      <c r="K217" s="46" t="s">
        <v>4475</v>
      </c>
      <c r="L217" s="46" t="s">
        <v>4476</v>
      </c>
    </row>
    <row r="218" spans="2:12">
      <c r="B218" s="46" t="s">
        <v>390</v>
      </c>
      <c r="C218" s="46" t="s">
        <v>4477</v>
      </c>
      <c r="D218" s="46" t="s">
        <v>4478</v>
      </c>
      <c r="E218" s="46" t="s">
        <v>4479</v>
      </c>
      <c r="F218" s="46" t="s">
        <v>4480</v>
      </c>
      <c r="G218" s="46" t="s">
        <v>4481</v>
      </c>
      <c r="H218" s="46" t="s">
        <v>4482</v>
      </c>
      <c r="I218" s="46" t="s">
        <v>4483</v>
      </c>
      <c r="J218" s="46" t="s">
        <v>4484</v>
      </c>
      <c r="K218" s="46" t="s">
        <v>4485</v>
      </c>
      <c r="L218" s="46" t="s">
        <v>4486</v>
      </c>
    </row>
    <row r="219" spans="2:12">
      <c r="B219" s="46" t="s">
        <v>389</v>
      </c>
      <c r="C219" s="46" t="s">
        <v>4487</v>
      </c>
      <c r="D219" s="46" t="s">
        <v>4488</v>
      </c>
      <c r="E219" s="46" t="s">
        <v>4489</v>
      </c>
      <c r="F219" s="46" t="s">
        <v>4490</v>
      </c>
      <c r="G219" s="46" t="s">
        <v>4491</v>
      </c>
      <c r="H219" s="46" t="s">
        <v>4492</v>
      </c>
      <c r="I219" s="46" t="s">
        <v>4493</v>
      </c>
      <c r="J219" s="46" t="s">
        <v>4494</v>
      </c>
      <c r="K219" s="46" t="s">
        <v>4495</v>
      </c>
      <c r="L219" s="46" t="s">
        <v>4496</v>
      </c>
    </row>
    <row r="220" spans="2:12">
      <c r="B220" s="46" t="s">
        <v>388</v>
      </c>
      <c r="C220" s="46" t="s">
        <v>4497</v>
      </c>
      <c r="D220" s="46" t="s">
        <v>4498</v>
      </c>
      <c r="E220" s="46" t="s">
        <v>4499</v>
      </c>
      <c r="F220" s="46" t="s">
        <v>4500</v>
      </c>
      <c r="G220" s="46" t="s">
        <v>4501</v>
      </c>
      <c r="H220" s="46" t="s">
        <v>4502</v>
      </c>
      <c r="I220" s="46" t="s">
        <v>4503</v>
      </c>
      <c r="J220" s="46" t="s">
        <v>4504</v>
      </c>
      <c r="K220" s="46" t="s">
        <v>4505</v>
      </c>
      <c r="L220" s="46" t="s">
        <v>4506</v>
      </c>
    </row>
    <row r="221" spans="2:12">
      <c r="B221" s="46" t="s">
        <v>387</v>
      </c>
      <c r="C221" s="46" t="s">
        <v>4507</v>
      </c>
      <c r="D221" s="46" t="s">
        <v>4508</v>
      </c>
      <c r="E221" s="46" t="s">
        <v>4509</v>
      </c>
      <c r="F221" s="46" t="s">
        <v>4510</v>
      </c>
      <c r="G221" s="46" t="s">
        <v>4511</v>
      </c>
      <c r="H221" s="46" t="s">
        <v>4512</v>
      </c>
      <c r="I221" s="46" t="s">
        <v>4513</v>
      </c>
      <c r="J221" s="46" t="s">
        <v>4514</v>
      </c>
      <c r="K221" s="46" t="s">
        <v>4515</v>
      </c>
      <c r="L221" s="46" t="s">
        <v>4516</v>
      </c>
    </row>
    <row r="222" spans="2:12">
      <c r="B222" s="46" t="s">
        <v>386</v>
      </c>
      <c r="C222" s="46" t="s">
        <v>4517</v>
      </c>
      <c r="D222" s="46" t="s">
        <v>4518</v>
      </c>
      <c r="E222" s="46" t="s">
        <v>4519</v>
      </c>
      <c r="F222" s="46" t="s">
        <v>4520</v>
      </c>
      <c r="G222" s="46" t="s">
        <v>4521</v>
      </c>
      <c r="H222" s="46" t="s">
        <v>4522</v>
      </c>
      <c r="I222" s="46" t="s">
        <v>4523</v>
      </c>
      <c r="J222" s="46" t="s">
        <v>4524</v>
      </c>
      <c r="K222" s="46" t="s">
        <v>4525</v>
      </c>
      <c r="L222" s="46" t="s">
        <v>4526</v>
      </c>
    </row>
    <row r="223" spans="2:12">
      <c r="B223" s="46" t="s">
        <v>385</v>
      </c>
      <c r="C223" s="46" t="s">
        <v>4527</v>
      </c>
      <c r="D223" s="46" t="s">
        <v>4528</v>
      </c>
      <c r="E223" s="46" t="s">
        <v>4529</v>
      </c>
      <c r="F223" s="46" t="s">
        <v>4530</v>
      </c>
      <c r="G223" s="46" t="s">
        <v>4531</v>
      </c>
      <c r="H223" s="46" t="s">
        <v>4532</v>
      </c>
      <c r="I223" s="46" t="s">
        <v>4533</v>
      </c>
      <c r="J223" s="46" t="s">
        <v>4534</v>
      </c>
      <c r="K223" s="46" t="s">
        <v>4535</v>
      </c>
      <c r="L223" s="46" t="s">
        <v>4536</v>
      </c>
    </row>
    <row r="224" spans="2:12">
      <c r="B224" s="46" t="s">
        <v>384</v>
      </c>
      <c r="C224" s="46" t="s">
        <v>4537</v>
      </c>
      <c r="D224" s="46" t="s">
        <v>4538</v>
      </c>
      <c r="E224" s="46" t="s">
        <v>4539</v>
      </c>
      <c r="F224" s="46" t="s">
        <v>4540</v>
      </c>
      <c r="G224" s="46" t="s">
        <v>4541</v>
      </c>
      <c r="H224" s="46" t="s">
        <v>4542</v>
      </c>
      <c r="I224" s="46" t="s">
        <v>4543</v>
      </c>
      <c r="J224" s="46" t="s">
        <v>4544</v>
      </c>
      <c r="K224" s="46" t="s">
        <v>4545</v>
      </c>
      <c r="L224" s="46" t="s">
        <v>4546</v>
      </c>
    </row>
    <row r="225" spans="2:12">
      <c r="B225" s="46" t="s">
        <v>383</v>
      </c>
      <c r="C225" s="46" t="s">
        <v>4547</v>
      </c>
      <c r="D225" s="46" t="s">
        <v>4548</v>
      </c>
      <c r="E225" s="46" t="s">
        <v>4549</v>
      </c>
      <c r="F225" s="46" t="s">
        <v>4550</v>
      </c>
      <c r="G225" s="46" t="s">
        <v>4551</v>
      </c>
      <c r="H225" s="46" t="s">
        <v>4552</v>
      </c>
      <c r="I225" s="46" t="s">
        <v>4553</v>
      </c>
      <c r="J225" s="46" t="s">
        <v>4554</v>
      </c>
      <c r="K225" s="46" t="s">
        <v>4555</v>
      </c>
      <c r="L225" s="46" t="s">
        <v>4556</v>
      </c>
    </row>
    <row r="226" spans="2:12">
      <c r="B226" s="46" t="s">
        <v>382</v>
      </c>
      <c r="C226" s="46" t="s">
        <v>4557</v>
      </c>
      <c r="D226" s="46" t="s">
        <v>4558</v>
      </c>
      <c r="E226" s="46" t="s">
        <v>4559</v>
      </c>
      <c r="F226" s="46" t="s">
        <v>4560</v>
      </c>
      <c r="G226" s="46" t="s">
        <v>4561</v>
      </c>
      <c r="H226" s="46" t="s">
        <v>4562</v>
      </c>
      <c r="I226" s="46" t="s">
        <v>4563</v>
      </c>
      <c r="J226" s="46" t="s">
        <v>4564</v>
      </c>
      <c r="K226" s="46" t="s">
        <v>4565</v>
      </c>
      <c r="L226" s="46" t="s">
        <v>4566</v>
      </c>
    </row>
    <row r="227" spans="2:12">
      <c r="B227" s="46" t="s">
        <v>381</v>
      </c>
      <c r="C227" s="46" t="s">
        <v>4567</v>
      </c>
      <c r="D227" s="46" t="s">
        <v>4568</v>
      </c>
      <c r="E227" s="46" t="s">
        <v>4569</v>
      </c>
      <c r="F227" s="46" t="s">
        <v>4570</v>
      </c>
      <c r="G227" s="46" t="s">
        <v>4571</v>
      </c>
      <c r="H227" s="46" t="s">
        <v>4572</v>
      </c>
      <c r="I227" s="46" t="s">
        <v>4573</v>
      </c>
      <c r="J227" s="46" t="s">
        <v>4574</v>
      </c>
      <c r="K227" s="46" t="s">
        <v>4575</v>
      </c>
      <c r="L227" s="46" t="s">
        <v>4576</v>
      </c>
    </row>
    <row r="228" spans="2:12">
      <c r="B228" s="46" t="s">
        <v>380</v>
      </c>
      <c r="C228" s="46" t="s">
        <v>4577</v>
      </c>
      <c r="D228" s="46" t="s">
        <v>4578</v>
      </c>
      <c r="E228" s="46" t="s">
        <v>4579</v>
      </c>
      <c r="F228" s="46" t="s">
        <v>4580</v>
      </c>
      <c r="G228" s="46" t="s">
        <v>4581</v>
      </c>
      <c r="H228" s="46" t="s">
        <v>4582</v>
      </c>
      <c r="I228" s="46" t="s">
        <v>4583</v>
      </c>
      <c r="J228" s="46" t="s">
        <v>4584</v>
      </c>
      <c r="K228" s="46" t="s">
        <v>4585</v>
      </c>
      <c r="L228" s="46" t="s">
        <v>4586</v>
      </c>
    </row>
    <row r="229" spans="2:12">
      <c r="B229" s="46" t="s">
        <v>379</v>
      </c>
      <c r="C229" s="46" t="s">
        <v>4587</v>
      </c>
      <c r="D229" s="46" t="s">
        <v>4588</v>
      </c>
      <c r="E229" s="46" t="s">
        <v>4589</v>
      </c>
      <c r="F229" s="46" t="s">
        <v>4590</v>
      </c>
      <c r="G229" s="46" t="s">
        <v>4591</v>
      </c>
      <c r="H229" s="46" t="s">
        <v>4592</v>
      </c>
      <c r="I229" s="46" t="s">
        <v>4593</v>
      </c>
      <c r="J229" s="46" t="s">
        <v>4594</v>
      </c>
      <c r="K229" s="46" t="s">
        <v>4595</v>
      </c>
      <c r="L229" s="46" t="s">
        <v>4596</v>
      </c>
    </row>
    <row r="230" spans="2:12">
      <c r="B230" s="46" t="s">
        <v>378</v>
      </c>
      <c r="C230" s="46" t="s">
        <v>4597</v>
      </c>
      <c r="D230" s="46" t="s">
        <v>4598</v>
      </c>
      <c r="E230" s="46" t="s">
        <v>4599</v>
      </c>
      <c r="F230" s="46" t="s">
        <v>4600</v>
      </c>
      <c r="G230" s="46" t="s">
        <v>4601</v>
      </c>
      <c r="H230" s="46" t="s">
        <v>4602</v>
      </c>
      <c r="I230" s="46" t="s">
        <v>4603</v>
      </c>
      <c r="J230" s="46" t="s">
        <v>4604</v>
      </c>
      <c r="K230" s="46" t="s">
        <v>4605</v>
      </c>
      <c r="L230" s="46" t="s">
        <v>4606</v>
      </c>
    </row>
    <row r="231" spans="2:12">
      <c r="B231" s="46" t="s">
        <v>377</v>
      </c>
      <c r="C231" s="46" t="s">
        <v>4607</v>
      </c>
      <c r="D231" s="46" t="s">
        <v>4608</v>
      </c>
      <c r="E231" s="46" t="s">
        <v>4609</v>
      </c>
      <c r="F231" s="46" t="s">
        <v>4610</v>
      </c>
      <c r="G231" s="46" t="s">
        <v>4611</v>
      </c>
      <c r="H231" s="46" t="s">
        <v>4612</v>
      </c>
      <c r="I231" s="46" t="s">
        <v>4613</v>
      </c>
      <c r="J231" s="46" t="s">
        <v>4614</v>
      </c>
      <c r="K231" s="46" t="s">
        <v>4615</v>
      </c>
      <c r="L231" s="46" t="s">
        <v>4616</v>
      </c>
    </row>
    <row r="232" spans="2:12">
      <c r="B232" s="46" t="s">
        <v>376</v>
      </c>
      <c r="C232" s="46" t="s">
        <v>4617</v>
      </c>
      <c r="D232" s="46" t="s">
        <v>4618</v>
      </c>
      <c r="E232" s="46" t="s">
        <v>4619</v>
      </c>
      <c r="F232" s="46" t="s">
        <v>4620</v>
      </c>
      <c r="G232" s="46" t="s">
        <v>4621</v>
      </c>
      <c r="H232" s="46" t="s">
        <v>4622</v>
      </c>
      <c r="I232" s="46" t="s">
        <v>4623</v>
      </c>
      <c r="J232" s="46" t="s">
        <v>4624</v>
      </c>
      <c r="K232" s="46" t="s">
        <v>4625</v>
      </c>
      <c r="L232" s="46" t="s">
        <v>4626</v>
      </c>
    </row>
    <row r="233" spans="2:12">
      <c r="B233" s="46" t="s">
        <v>375</v>
      </c>
      <c r="C233" s="46" t="s">
        <v>4627</v>
      </c>
      <c r="D233" s="46" t="s">
        <v>4628</v>
      </c>
      <c r="E233" s="46" t="s">
        <v>4629</v>
      </c>
      <c r="F233" s="46" t="s">
        <v>4630</v>
      </c>
      <c r="G233" s="46" t="s">
        <v>4631</v>
      </c>
      <c r="H233" s="46" t="s">
        <v>4632</v>
      </c>
      <c r="I233" s="46" t="s">
        <v>4633</v>
      </c>
      <c r="J233" s="46" t="s">
        <v>4634</v>
      </c>
      <c r="K233" s="46" t="s">
        <v>4635</v>
      </c>
      <c r="L233" s="46" t="s">
        <v>4636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Lighting</vt:lpstr>
      <vt:lpstr>Furniture</vt:lpstr>
      <vt:lpstr>Accessories</vt:lpstr>
      <vt:lpstr>Upholstery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Saskia Kluck</dc:creator>
  <cp:lastModifiedBy>Yevgeniy Bredykhin</cp:lastModifiedBy>
  <dcterms:created xsi:type="dcterms:W3CDTF">2018-12-14T11:27:31Z</dcterms:created>
  <dcterms:modified xsi:type="dcterms:W3CDTF">2019-01-07T11:14:25Z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et Reports Design Mode Active">
    <vt:bool>false</vt:bool>
  </property>
  <property fmtid="{D5CDD505-2E9C-101B-9397-08002B2CF9AE}" pid="3" name="Jet Reports Function Literals">
    <vt:lpwstr>,	;	,	{	}	[@[{0}]]	1033</vt:lpwstr>
  </property>
</Properties>
</file>